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9019646-38C5-4268-A6DC-A6DEFAD54EEF}" xr6:coauthVersionLast="47" xr6:coauthVersionMax="47" xr10:uidLastSave="{00000000-0000-0000-0000-000000000000}"/>
  <bookViews>
    <workbookView xWindow="4980" yWindow="4980" windowWidth="28815" windowHeight="15345" tabRatio="870" firstSheet="2" activeTab="4" xr2:uid="{7C0456C6-8C99-4E3A-80F4-42D6361E3349}"/>
  </bookViews>
  <sheets>
    <sheet name="WS 1 - Wholesale Charges" sheetId="1" r:id="rId1"/>
    <sheet name="WS 2 - Wheeling Charges" sheetId="2" r:id="rId2"/>
    <sheet name="WS 3 - Retail Charges" sheetId="3" r:id="rId3"/>
    <sheet name="WS 4  - Peak Loads" sheetId="9" r:id="rId4"/>
    <sheet name="WS 5 - Sched, Sys Control, Disp" sheetId="6" r:id="rId5"/>
    <sheet name="Cognos_Office_Connection_Cache" sheetId="19" state="veryHidden" r:id="rId6"/>
    <sheet name="WS 6 - Retail Conv Factors" sheetId="10" r:id="rId7"/>
    <sheet name="WS 7 - RNS Charges" sheetId="13" r:id="rId8"/>
    <sheet name="WS 8 - ISO Invoices" sheetId="18" r:id="rId9"/>
    <sheet name="WS 9 - Schedule 1 Revenues" sheetId="8" r:id="rId10"/>
    <sheet name="WS 10 - Rate Conversion" sheetId="4" r:id="rId11"/>
    <sheet name="WS 11 - Retail KWH Sales" sheetId="15" r:id="rId12"/>
    <sheet name="WS 12 True-up Interest -RNS Ch" sheetId="17" r:id="rId13"/>
    <sheet name="WS 13 True-up Interest -Sch1" sheetId="16" r:id="rId14"/>
    <sheet name="WS 14 - Retail Rates" sheetId="5" r:id="rId15"/>
  </sheets>
  <definedNames>
    <definedName name="\P" localSheetId="12">#REF!</definedName>
    <definedName name="\P" localSheetId="13">#REF!</definedName>
    <definedName name="\P" localSheetId="8">#REF!</definedName>
    <definedName name="\P">#REF!</definedName>
    <definedName name="__123Graph_A" hidden="1">#REF!</definedName>
    <definedName name="__123Graph_B" hidden="1">#REF!</definedName>
    <definedName name="__123Graph_D" hidden="1">#REF!</definedName>
    <definedName name="__123Graph_X" hidden="1">#REF!</definedName>
    <definedName name="__FDS_HYPERLINK_TOGGLE_STATE__" hidden="1">"ON"</definedName>
    <definedName name="__FDS_UNIQUE_RANGE_ID_GENERATOR_COUNTER" hidden="1">1</definedName>
    <definedName name="_bdm.098F80E04181402E8958F6A4456D5345.edm" hidden="1">#REF!</definedName>
    <definedName name="_bdm.18A8D99F01ED46E0ACA73C01FC2E48EC.edm" hidden="1">#REF!</definedName>
    <definedName name="_bdm.402CFD5F0E5B4736A128B3318F50C660.edm" hidden="1">#REF!</definedName>
    <definedName name="_bdm.50C643FE2A004F1188F453C954A7ED50.edm" hidden="1">#REF!</definedName>
    <definedName name="_bdm.520F574DCFFF11D6B661000347B6BAD9.edm" hidden="1">#REF!</definedName>
    <definedName name="_bdm.544CDFFC17104BA88AACE01B00334AAA.edm" hidden="1">#REF!</definedName>
    <definedName name="_bdm.6404D861F575476CA11AC87AF925F5E4.edm" hidden="1">#REF!</definedName>
    <definedName name="_bdm.6B9871C8B6754C2694A8D7B61345F46A.edm" hidden="1">#REF!</definedName>
    <definedName name="_bdm.729A8CFFA3324ABDA17227DCD15399EB.edm" hidden="1">#REF!</definedName>
    <definedName name="_bdm.9EA39FAFF24E41C791FFA7CFF2F72700.edm" hidden="1">#REF!</definedName>
    <definedName name="_bdm.A3B74CFC3AEC4334923AD1611F40F135.edm" hidden="1">#REF!</definedName>
    <definedName name="_bdm.BB5257384F354FB0A366E7A3DE83E499.edm" hidden="1">#REF!</definedName>
    <definedName name="_bdm.C9D4FAB2E1A441B493473DF0F0C3B355.edm" hidden="1">#REF!</definedName>
    <definedName name="_bdm.CEC78E23E7D84255B253927A967BA781.edm" hidden="1">#REF!</definedName>
    <definedName name="_bdm.D4C48A3983EA49B29D5DCADA5EC3D12B.edm" hidden="1">#REF!</definedName>
    <definedName name="_bdm.E2B7A064C70545BDB46BDB87A58DB737.edm" hidden="1">#REF!</definedName>
    <definedName name="_bdm.E992BA4F23BD4BED974F5E947BCD2CBA.edm" hidden="1">#REF!</definedName>
    <definedName name="_bdm.EBD6799B2E80448FBA1CA1E9CE85DE23.edm" hidden="1">#REF!</definedName>
    <definedName name="_bdm.F3584E8F28C64E908F9B9892F088A96B.edm" hidden="1">#REF!</definedName>
    <definedName name="_bdm.FastTrackBookmark.10_29_2008_6_17_06_PM.edm" hidden="1">#REF!</definedName>
    <definedName name="_CAP2" localSheetId="12">#REF!</definedName>
    <definedName name="_CAP2" localSheetId="13">#REF!</definedName>
    <definedName name="_CAP2" localSheetId="8">#REF!</definedName>
    <definedName name="_CAP2">#REF!</definedName>
    <definedName name="_clp2" localSheetId="12">#REF!</definedName>
    <definedName name="_clp2" localSheetId="13">#REF!</definedName>
    <definedName name="_clp2" localSheetId="8">#REF!</definedName>
    <definedName name="_clp2">#REF!</definedName>
    <definedName name="_coc2" localSheetId="12">#REF!</definedName>
    <definedName name="_coc2" localSheetId="13">#REF!</definedName>
    <definedName name="_coc2" localSheetId="8">#REF!</definedName>
    <definedName name="_coc2">#REF!</definedName>
    <definedName name="_Fill" hidden="1">#REF!</definedName>
    <definedName name="_hpe1" localSheetId="8">#REF!</definedName>
    <definedName name="_hpe1">#REF!</definedName>
    <definedName name="_hpe2" localSheetId="8">#REF!</definedName>
    <definedName name="_hpe2">#REF!</definedName>
    <definedName name="_hwp1" localSheetId="8">#REF!</definedName>
    <definedName name="_hwp1">#REF!</definedName>
    <definedName name="_hwp2" localSheetId="8">#REF!</definedName>
    <definedName name="_hwp2">#REF!</definedName>
    <definedName name="_Order1" hidden="1">255</definedName>
    <definedName name="_Order2" hidden="1">255</definedName>
    <definedName name="_PP1" localSheetId="8">#REF!</definedName>
    <definedName name="_PP1">#REF!</definedName>
    <definedName name="a" localSheetId="8">#REF!</definedName>
    <definedName name="a">#REF!</definedName>
    <definedName name="AccessDatabase" hidden="1">"S:\SHARED\HUMANRES\EXCEL.97\Job Tracking\Req input form.mdb"</definedName>
    <definedName name="Adjustment_Factor_for_Rev_Req" localSheetId="8">#REF!</definedName>
    <definedName name="Adjustment_Factor_for_Rev_Req">#REF!</definedName>
    <definedName name="alloc1" localSheetId="12">#REF!</definedName>
    <definedName name="alloc1" localSheetId="13">#REF!</definedName>
    <definedName name="alloc1" localSheetId="8">#REF!</definedName>
    <definedName name="alloc1">#REF!</definedName>
    <definedName name="alloc2" localSheetId="12">#REF!</definedName>
    <definedName name="alloc2" localSheetId="13">#REF!</definedName>
    <definedName name="alloc2" localSheetId="8">#REF!</definedName>
    <definedName name="alloc2">#REF!</definedName>
    <definedName name="analysis" localSheetId="12">#REF!</definedName>
    <definedName name="analysis" localSheetId="13">#REF!</definedName>
    <definedName name="analysis" localSheetId="8">#REF!</definedName>
    <definedName name="analysis">#REF!</definedName>
    <definedName name="AssetRange" localSheetId="8">#REF!</definedName>
    <definedName name="AssetRange">#REF!</definedName>
    <definedName name="BHD_Plant_Adjustment_Factor" localSheetId="8">#REF!</definedName>
    <definedName name="BHD_Plant_Adjustment_Factor">#REF!</definedName>
    <definedName name="BHD_Plant_PTF" localSheetId="8">#REF!</definedName>
    <definedName name="BHD_Plant_PTF">#REF!</definedName>
    <definedName name="BHD_Plant_TotalTransmission" localSheetId="8">#REF!</definedName>
    <definedName name="BHD_Plant_TotalTransmission">#REF!</definedName>
    <definedName name="BHD_Plant_Transmission" localSheetId="8">#REF!</definedName>
    <definedName name="BHD_Plant_Transmission">#REF!</definedName>
    <definedName name="BHEGEN" localSheetId="8">#REF!</definedName>
    <definedName name="BHEGEN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UDGETVSACTUAL" localSheetId="8">#REF!</definedName>
    <definedName name="BUDGETVSACTUAL">#REF!</definedName>
    <definedName name="CBWorkbookPriority">-1063973873</definedName>
    <definedName name="cgl" hidden="1">{#N/A,#N/A,FALSE,"GLDwnLoad"}</definedName>
    <definedName name="cgl_1" hidden="1">{#N/A,#N/A,FALSE,"GLDwnLoad"}</definedName>
    <definedName name="clpcoc" localSheetId="12">#REF!</definedName>
    <definedName name="clpcoc" localSheetId="13">#REF!</definedName>
    <definedName name="clpcoc" localSheetId="8">#REF!</definedName>
    <definedName name="clpcoc">#REF!</definedName>
    <definedName name="clpcoc2" localSheetId="8">#REF!</definedName>
    <definedName name="clpcoc2">#REF!</definedName>
    <definedName name="coc" localSheetId="8">#REF!</definedName>
    <definedName name="coc">#REF!</definedName>
    <definedName name="Company_Wage_Transmission">#REF!</definedName>
    <definedName name="COMPARE" localSheetId="12">#REF!</definedName>
    <definedName name="COMPARE" localSheetId="13">#REF!</definedName>
    <definedName name="COMPARE" localSheetId="8">#REF!</definedName>
    <definedName name="COMPARE">#REF!</definedName>
    <definedName name="Consumption" localSheetId="8">#REF!</definedName>
    <definedName name="Consumption">#REF!</definedName>
    <definedName name="Contacts" localSheetId="12">#REF!</definedName>
    <definedName name="Contacts" localSheetId="13">#REF!</definedName>
    <definedName name="Contacts" localSheetId="8">#REF!</definedName>
    <definedName name="Contacts">#REF!</definedName>
    <definedName name="Customer">#REF!</definedName>
    <definedName name="Customers" localSheetId="12">#REF!</definedName>
    <definedName name="Customers" localSheetId="13">#REF!</definedName>
    <definedName name="Customers" localSheetId="8">#REF!</definedName>
    <definedName name="Customers">#REF!</definedName>
    <definedName name="Day" localSheetId="12">#REF!</definedName>
    <definedName name="Day" localSheetId="13">#REF!</definedName>
    <definedName name="Day" localSheetId="8">#REF!</definedName>
    <definedName name="Day">#REF!</definedName>
    <definedName name="DAYs">#REF!</definedName>
    <definedName name="Depr_Life" localSheetId="12">#REF!</definedName>
    <definedName name="Depr_Life" localSheetId="13">#REF!</definedName>
    <definedName name="Depr_Life" localSheetId="8">#REF!</definedName>
    <definedName name="Depr_Life">#REF!</definedName>
    <definedName name="DETAIL" localSheetId="12">#REF!</definedName>
    <definedName name="DETAIL" localSheetId="13">#REF!</definedName>
    <definedName name="DETAIL" localSheetId="8">#REF!</definedName>
    <definedName name="DETAIL">#REF!</definedName>
    <definedName name="dfdfdf" localSheetId="8">#REF!</definedName>
    <definedName name="dfdfdf">#REF!</definedName>
    <definedName name="DispT1" localSheetId="12">#REF!</definedName>
    <definedName name="DispT1" localSheetId="13">#REF!</definedName>
    <definedName name="DispT1" localSheetId="8">#REF!</definedName>
    <definedName name="DispT1">#REF!</definedName>
    <definedName name="Distribution_Rates" localSheetId="8">#REF!</definedName>
    <definedName name="Distribution_Rates">#REF!</definedName>
    <definedName name="EQUITY" localSheetId="12">#REF!</definedName>
    <definedName name="EQUITY" localSheetId="13">#REF!</definedName>
    <definedName name="EQUITY" localSheetId="8">#REF!</definedName>
    <definedName name="EQUITY">#REF!</definedName>
    <definedName name="FERC328">#REF!</definedName>
    <definedName name="FERC332" localSheetId="8">#REF!</definedName>
    <definedName name="FERC332">#REF!</definedName>
    <definedName name="FERC582" localSheetId="8">#REF!</definedName>
    <definedName name="FERC582">#REF!</definedName>
    <definedName name="FERCANNCHG" localSheetId="8">#REF!</definedName>
    <definedName name="FERCANNCHG">#REF!</definedName>
    <definedName name="file">#REF!</definedName>
    <definedName name="FINAPR" localSheetId="8">#REF!</definedName>
    <definedName name="FINAPR">#REF!</definedName>
    <definedName name="FINAUG" localSheetId="8">#REF!</definedName>
    <definedName name="FINAUG">#REF!</definedName>
    <definedName name="FINDEC" localSheetId="8">#REF!</definedName>
    <definedName name="FINDEC">#REF!</definedName>
    <definedName name="FINFEB" localSheetId="8">#REF!</definedName>
    <definedName name="FINFEB">#REF!</definedName>
    <definedName name="FINJAN" localSheetId="8">#REF!</definedName>
    <definedName name="FINJAN">#REF!</definedName>
    <definedName name="FINJUL" localSheetId="8">#REF!</definedName>
    <definedName name="FINJUL">#REF!</definedName>
    <definedName name="FINJUN" localSheetId="8">#REF!</definedName>
    <definedName name="FINJUN">#REF!</definedName>
    <definedName name="FINMAR" localSheetId="8">#REF!</definedName>
    <definedName name="FINMAR">#REF!</definedName>
    <definedName name="FINMAY" localSheetId="8">#REF!</definedName>
    <definedName name="FINMAY">#REF!</definedName>
    <definedName name="FINNOV" localSheetId="8">#REF!</definedName>
    <definedName name="FINNOV">#REF!</definedName>
    <definedName name="FINOCT" localSheetId="8">#REF!</definedName>
    <definedName name="FINOCT">#REF!</definedName>
    <definedName name="FINSEP" localSheetId="8">#REF!</definedName>
    <definedName name="FINSEP">#REF!</definedName>
    <definedName name="FINYTD" localSheetId="8">#REF!</definedName>
    <definedName name="FINYTD">#REF!</definedName>
    <definedName name="forecastcases" localSheetId="8">#REF!</definedName>
    <definedName name="forecastcases">#REF!</definedName>
    <definedName name="FORM10KSUM" localSheetId="8">#REF!</definedName>
    <definedName name="FORM10KSUM">#REF!</definedName>
    <definedName name="FORM10KSUMDTL" localSheetId="8">#REF!</definedName>
    <definedName name="FORM10KSUMDTL">#REF!</definedName>
    <definedName name="FORM10KWTR" localSheetId="8">#REF!</definedName>
    <definedName name="FORM10KWTR">#REF!</definedName>
    <definedName name="FORM10KWTRDTL" localSheetId="8">#REF!</definedName>
    <definedName name="FORM10KWTRDTL">#REF!</definedName>
    <definedName name="gg" hidden="1">{#N/A,#N/A,FALSE,"GLDwnLoad"}</definedName>
    <definedName name="gg_1" hidden="1">{#N/A,#N/A,FALSE,"GLDwnLoad"}</definedName>
    <definedName name="gl" hidden="1">{#N/A,#N/A,FALSE,"GLDwnLoad"}</definedName>
    <definedName name="gl_1" hidden="1">{#N/A,#N/A,FALSE,"GLDwnLoad"}</definedName>
    <definedName name="HCMINTERRUPT" localSheetId="12">#REF!</definedName>
    <definedName name="HCMINTERRUPT" localSheetId="13">#REF!</definedName>
    <definedName name="HCMINTERRUPT" localSheetId="8">#REF!</definedName>
    <definedName name="HCMINTERRUPT">#REF!</definedName>
    <definedName name="hh" hidden="1">{#N/A,#N/A,FALSE,"Sheet1";#N/A,#N/A,FALSE,"Sheet1"}</definedName>
    <definedName name="hh_1" hidden="1">{#N/A,#N/A,FALSE,"Sheet1";#N/A,#N/A,FALSE,"Sheet1"}</definedName>
    <definedName name="holyoke" localSheetId="12">#REF!</definedName>
    <definedName name="holyoke" localSheetId="13">#REF!</definedName>
    <definedName name="holyoke" localSheetId="8">#REF!</definedName>
    <definedName name="holyoke">#REF!</definedName>
    <definedName name="HOURs">#REF!</definedName>
    <definedName name="hwpcoc" localSheetId="12">#REF!</definedName>
    <definedName name="hwpcoc" localSheetId="13">#REF!</definedName>
    <definedName name="hwpcoc" localSheetId="8">#REF!</definedName>
    <definedName name="hwpcoc">#REF!</definedName>
    <definedName name="hwpcoc2" localSheetId="12">#REF!</definedName>
    <definedName name="hwpcoc2" localSheetId="13">#REF!</definedName>
    <definedName name="hwpcoc2" localSheetId="8">#REF!</definedName>
    <definedName name="hwpcoc2">#REF!</definedName>
    <definedName name="ID" localSheetId="5" hidden="1">"a8ad930e-1274-460b-8dd7-1f743fff9726"</definedName>
    <definedName name="ID" localSheetId="0" hidden="1">"c49026fe-b66f-4f27-b0cf-8735446c527e"</definedName>
    <definedName name="ID" localSheetId="10" hidden="1">"cda82ce0-ae8b-487e-ab62-cda449f579ae"</definedName>
    <definedName name="ID" localSheetId="11" hidden="1">"2dc492f8-ba48-493f-98bb-003d7c78afd9"</definedName>
    <definedName name="ID" localSheetId="12" hidden="1">"6b595e52-cb8b-481b-9dbc-2bf708f232f8"</definedName>
    <definedName name="ID" localSheetId="13" hidden="1">"88a4f49e-e3c9-4437-8e6f-4801f7916973"</definedName>
    <definedName name="ID" localSheetId="14" hidden="1">"696e9e5f-2128-4495-851d-bedaccc9b936"</definedName>
    <definedName name="ID" localSheetId="1" hidden="1">"5f63393f-ae98-417e-b1fb-012ba148fa8e"</definedName>
    <definedName name="ID" localSheetId="2" hidden="1">"8ccee7cd-0c34-4011-adf3-0797c93ec2dc"</definedName>
    <definedName name="ID" localSheetId="3" hidden="1">"c9b02807-5656-43b1-921b-f158e196518c"</definedName>
    <definedName name="ID" localSheetId="4" hidden="1">"c2e4cf94-ef59-4e57-81aa-a6dfed651d5b"</definedName>
    <definedName name="ID" localSheetId="6" hidden="1">"1368c527-f2a7-461b-bb92-e248a5d44f78"</definedName>
    <definedName name="ID" localSheetId="7" hidden="1">"2c1a2f64-7425-4bbe-b408-3196fb147132"</definedName>
    <definedName name="ID" localSheetId="8" hidden="1">"477e6a62-e971-4188-89da-9e32e4dabec3"</definedName>
    <definedName name="ID" localSheetId="9" hidden="1">"791678b4-9c37-43f6-90ae-e16a6e2e30dc"</definedName>
    <definedName name="in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dex" localSheetId="12">#REF!</definedName>
    <definedName name="index" localSheetId="13">#REF!</definedName>
    <definedName name="index" localSheetId="8">#REF!</definedName>
    <definedName name="index">#REF!</definedName>
    <definedName name="INPUT_IN_FERC_FORM_DATABASE">#REF!</definedName>
    <definedName name="INTEREST_EXPENSE" localSheetId="8">#REF!</definedName>
    <definedName name="INTEREST_EXPENSE">#REF!</definedName>
    <definedName name="Interest_Note" localSheetId="8">#REF!</definedName>
    <definedName name="Interest_Note">#REF!</definedName>
    <definedName name="Inventory_Note" localSheetId="8">#REF!</definedName>
    <definedName name="Inventory_Note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_CIQ" hidden="1">"c5066"</definedName>
    <definedName name="IQ_EPS_GW_EST" hidden="1">"c1737"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SBC_DIFF_CIQ_COL" hidden="1">"c11507"</definedName>
    <definedName name="IQ_EST_EBITDA_SBC_SURPRISE_PERCENT_CIQ_COL" hidden="1">"c11516"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42345.614837963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CIQ" hidden="1">"c3616"</definedName>
    <definedName name="IQ_REVENUE_EST_REUT" hidden="1">"c3634"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39416.5085416666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OBALANCE" localSheetId="8">#REF!</definedName>
    <definedName name="ISOBALANCE">#REF!</definedName>
    <definedName name="ISORECON" localSheetId="8">#REF!</definedName>
    <definedName name="ISORECON">#REF!</definedName>
    <definedName name="ISOSUMMARY" localSheetId="8">#REF!</definedName>
    <definedName name="ISOSUMMARY">#REF!</definedName>
    <definedName name="ISOTARIFF" localSheetId="8">#REF!</definedName>
    <definedName name="ISOTARIFF">#REF!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ournalEntry">#REF!</definedName>
    <definedName name="kjkj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LiabEquityRange" localSheetId="8">#REF!</definedName>
    <definedName name="LiabEquityRange">#REF!</definedName>
    <definedName name="List_Cases" localSheetId="8">OFFSET(#REF!,0,0,0,COUNTA(#REF!))</definedName>
    <definedName name="List_Cases">OFFSET(#REF!,0,0,0,COUNTA(#REF!))</definedName>
    <definedName name="LoadLosses" localSheetId="12">#REF!</definedName>
    <definedName name="LoadLosses" localSheetId="13">#REF!</definedName>
    <definedName name="LoadLosses" localSheetId="8">#REF!</definedName>
    <definedName name="LoadLosses">#REF!</definedName>
    <definedName name="Local" localSheetId="12">#REF!</definedName>
    <definedName name="Local" localSheetId="13">#REF!</definedName>
    <definedName name="Local" localSheetId="8">#REF!</definedName>
    <definedName name="Local">#REF!</definedName>
    <definedName name="MEPCOEquity" localSheetId="8">#REF!</definedName>
    <definedName name="MEPCOEquity">#REF!</definedName>
    <definedName name="minus_S_W_2001" localSheetId="12">#REF!</definedName>
    <definedName name="minus_S_W_2001" localSheetId="13">#REF!</definedName>
    <definedName name="minus_S_W_2001" localSheetId="8">#REF!</definedName>
    <definedName name="minus_S_W_2001">#REF!</definedName>
    <definedName name="MONTH">#REF!</definedName>
    <definedName name="Months" localSheetId="12">#REF!</definedName>
    <definedName name="Months" localSheetId="13">#REF!</definedName>
    <definedName name="Months" localSheetId="8">#REF!</definedName>
    <definedName name="Months">#REF!</definedName>
    <definedName name="MPD_Plant_TotalTransmission">#REF!</definedName>
    <definedName name="MPD_Plant_Transmission">#REF!</definedName>
    <definedName name="MYEquity" localSheetId="8">#REF!</definedName>
    <definedName name="MYEquity">#REF!</definedName>
    <definedName name="MYMEPCOEquity" localSheetId="8">#REF!</definedName>
    <definedName name="MYMEPCOEquity">#REF!</definedName>
    <definedName name="na" hidden="1">#REF!</definedName>
    <definedName name="naec1" localSheetId="12">#REF!</definedName>
    <definedName name="naec1" localSheetId="13">#REF!</definedName>
    <definedName name="naec1" localSheetId="8">#REF!</definedName>
    <definedName name="naec1">#REF!</definedName>
    <definedName name="naec2" localSheetId="12">#REF!</definedName>
    <definedName name="naec2" localSheetId="13">#REF!</definedName>
    <definedName name="naec2" localSheetId="8">#REF!</definedName>
    <definedName name="naec2">#REF!</definedName>
    <definedName name="naeccoc" localSheetId="8">#REF!</definedName>
    <definedName name="naeccoc">#REF!</definedName>
    <definedName name="NAECCOC2" localSheetId="8">#REF!</definedName>
    <definedName name="NAECCOC2">#REF!</definedName>
    <definedName name="Net_Income" localSheetId="8">#REF!</definedName>
    <definedName name="Net_Income">#REF!</definedName>
    <definedName name="newname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ONCHG" localSheetId="8">#REF!</definedName>
    <definedName name="NONCHG">#REF!</definedName>
    <definedName name="oldname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i_SOCFInputsCurrMo" localSheetId="8">#REF!</definedName>
    <definedName name="ooi_SOCFInputsCurrMo">#REF!</definedName>
    <definedName name="ooi_SOCFInputsYTD" localSheetId="8">#REF!</definedName>
    <definedName name="ooi_SOCFInputsYTD">#REF!</definedName>
    <definedName name="oop_BalShtYOYLiab" localSheetId="8">#REF!</definedName>
    <definedName name="oop_BalShtYOYLiab">#REF!</definedName>
    <definedName name="oop_IncStmtYOY" localSheetId="8">#REF!</definedName>
    <definedName name="oop_IncStmtYOY">#REF!</definedName>
    <definedName name="OOP_is" localSheetId="8">#REF!</definedName>
    <definedName name="OOP_is">#REF!</definedName>
    <definedName name="OOP_IS_TB" localSheetId="8">#REF!</definedName>
    <definedName name="OOP_IS_TB">#REF!</definedName>
    <definedName name="oop_SOCFinputs" localSheetId="8">#REF!</definedName>
    <definedName name="oop_SOCFinputs">#REF!</definedName>
    <definedName name="OPENACCESS" localSheetId="8">#REF!</definedName>
    <definedName name="OPENACCESS">#REF!</definedName>
    <definedName name="options">#REF!</definedName>
    <definedName name="OtherCurLiab_Note" localSheetId="8">#REF!</definedName>
    <definedName name="OtherCurLiab_Note">#REF!</definedName>
    <definedName name="OtherIncExp_Note" localSheetId="8">#REF!</definedName>
    <definedName name="OtherIncExp_Note">#REF!</definedName>
    <definedName name="panel" localSheetId="12">#REF!</definedName>
    <definedName name="panel" localSheetId="13">#REF!</definedName>
    <definedName name="panel" localSheetId="8">#REF!</definedName>
    <definedName name="panel">#REF!</definedName>
    <definedName name="peaks" localSheetId="8">#REF!</definedName>
    <definedName name="peaks">#REF!</definedName>
    <definedName name="plant_alloc_post_96" localSheetId="8">#REF!</definedName>
    <definedName name="plant_alloc_post_96">#REF!</definedName>
    <definedName name="plant_alloc_pre_97" localSheetId="8">#REF!</definedName>
    <definedName name="plant_alloc_pre_97">#REF!</definedName>
    <definedName name="PlantAllocator">#REF!</definedName>
    <definedName name="PP_Estimates" localSheetId="8">#REF!</definedName>
    <definedName name="PP_Estimates">#REF!</definedName>
    <definedName name="PPage" localSheetId="12">#REF!</definedName>
    <definedName name="PPage" localSheetId="13">#REF!</definedName>
    <definedName name="PPage" localSheetId="8">#REF!</definedName>
    <definedName name="PPage">#REF!</definedName>
    <definedName name="PPage1" localSheetId="12">#REF!</definedName>
    <definedName name="PPage1" localSheetId="13">#REF!</definedName>
    <definedName name="PPage1" localSheetId="8">#REF!</definedName>
    <definedName name="PPage1">#REF!</definedName>
    <definedName name="PPage2" localSheetId="8">#REF!</definedName>
    <definedName name="PPage2">#REF!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_xlnm.Print_Area" localSheetId="12">'WS 12 True-up Interest -RNS Ch'!$A$1:$L$62</definedName>
    <definedName name="_xlnm.Print_Area" localSheetId="13">'WS 13 True-up Interest -Sch1'!$A$1:$L$61</definedName>
    <definedName name="_xlnm.Print_Area" localSheetId="14">'WS 14 - Retail Rates'!$A$1:$I$31</definedName>
    <definedName name="_xlnm.Print_Area" localSheetId="1">'WS 2 - Wheeling Charges'!$A$1:$J$27</definedName>
    <definedName name="_xlnm.Print_Area" localSheetId="2">'WS 3 - Retail Charges'!$A$1:$J$42</definedName>
    <definedName name="_xlnm.Print_Area" localSheetId="3">'WS 4  - Peak Loads'!$A$1:$J$35</definedName>
    <definedName name="_xlnm.Print_Area" localSheetId="4">'WS 5 - Sched, Sys Control, Disp'!$A$1:$E$26</definedName>
    <definedName name="_xlnm.Print_Area" localSheetId="6">'WS 6 - Retail Conv Factors'!$A$1:$L$48</definedName>
    <definedName name="_xlnm.Print_Area" localSheetId="7">'WS 7 - RNS Charges'!$A$1:$Q$17</definedName>
    <definedName name="_xlnm.Print_Area" localSheetId="8">'WS 8 - ISO Invoices'!$A$1:$O$47</definedName>
    <definedName name="_xlnm.Print_Area" localSheetId="9">'WS 9 - Schedule 1 Revenues'!$A$1:$D$24</definedName>
    <definedName name="_xlnm.Print_Area">#REF!</definedName>
    <definedName name="Print_Area_MI" localSheetId="8">#REF!</definedName>
    <definedName name="Print_Area_MI">#REF!</definedName>
    <definedName name="_xlnm.Print_Titles">#N/A</definedName>
    <definedName name="psnh_pilot" localSheetId="12">#REF!</definedName>
    <definedName name="psnh_pilot" localSheetId="13">#REF!</definedName>
    <definedName name="psnh_pilot" localSheetId="8">#REF!</definedName>
    <definedName name="psnh_pilot">#REF!</definedName>
    <definedName name="psnh1" localSheetId="12">#REF!</definedName>
    <definedName name="psnh1" localSheetId="13">#REF!</definedName>
    <definedName name="psnh1" localSheetId="8">#REF!</definedName>
    <definedName name="psnh1">#REF!</definedName>
    <definedName name="psnh2" localSheetId="12">#REF!</definedName>
    <definedName name="psnh2" localSheetId="13">#REF!</definedName>
    <definedName name="psnh2" localSheetId="8">#REF!</definedName>
    <definedName name="psnh2">#REF!</definedName>
    <definedName name="psnhcoc" localSheetId="8">#REF!</definedName>
    <definedName name="psnhcoc">#REF!</definedName>
    <definedName name="PSNHCOC2" localSheetId="8">#REF!</definedName>
    <definedName name="PSNHCOC2">#REF!</definedName>
    <definedName name="PTF_alloc_post_96" localSheetId="8">#REF!</definedName>
    <definedName name="PTF_alloc_post_96">#REF!</definedName>
    <definedName name="PTF_alloc_pre_97" localSheetId="8">#REF!</definedName>
    <definedName name="PTF_alloc_pre_97">#REF!</definedName>
    <definedName name="PTFallocator">#REF!</definedName>
    <definedName name="Purpose" localSheetId="12">#REF!</definedName>
    <definedName name="Purpose" localSheetId="13">#REF!</definedName>
    <definedName name="Purpose" localSheetId="8">#REF!</definedName>
    <definedName name="Purpose">#REF!</definedName>
    <definedName name="PurPwrEstimates" localSheetId="8">#REF!</definedName>
    <definedName name="PurPwrEstimates">#REF!</definedName>
    <definedName name="qqq" hidden="1">{#N/A,#N/A,FALSE,"Sheet1";#N/A,#N/A,FALSE,"Sheet1"}</definedName>
    <definedName name="qqq_1" hidden="1">{#N/A,#N/A,FALSE,"Sheet1";#N/A,#N/A,FALSE,"Sheet1"}</definedName>
    <definedName name="QTD" localSheetId="8">#REF!</definedName>
    <definedName name="QTD">#REF!</definedName>
    <definedName name="Quarters">#REF!</definedName>
    <definedName name="rateyears" localSheetId="8">#REF!</definedName>
    <definedName name="rateyears">#REF!</definedName>
    <definedName name="RECONFINCHK" localSheetId="8">#REF!</definedName>
    <definedName name="RECONFINCHK">#REF!</definedName>
    <definedName name="Revenue" localSheetId="8">#REF!</definedName>
    <definedName name="Revenue">#REF!</definedName>
    <definedName name="RNS_Credits" localSheetId="8">#REF!</definedName>
    <definedName name="RNS_Credits">#REF!</definedName>
    <definedName name="ROGER" localSheetId="8">#REF!</definedName>
    <definedName name="ROGER">#REF!</definedName>
    <definedName name="S_W_pct_PTF" localSheetId="8">#REF!</definedName>
    <definedName name="S_W_pct_PTF">#REF!</definedName>
    <definedName name="Sales" localSheetId="8">#REF!</definedName>
    <definedName name="Sales">#REF!</definedName>
    <definedName name="SB" localSheetId="8">#REF!</definedName>
    <definedName name="SB">#REF!</definedName>
    <definedName name="SCHXDTL" localSheetId="8">#REF!</definedName>
    <definedName name="SCHXDTL">#REF!</definedName>
    <definedName name="SCHXII" localSheetId="8">#REF!</definedName>
    <definedName name="SCHXII">#REF!</definedName>
    <definedName name="select" localSheetId="8">#REF!</definedName>
    <definedName name="select">#REF!</definedName>
    <definedName name="sheet" localSheetId="12">#REF!</definedName>
    <definedName name="sheet" localSheetId="13">#REF!</definedName>
    <definedName name="sheet" localSheetId="8">#REF!</definedName>
    <definedName name="sheet">#REF!</definedName>
    <definedName name="Source" localSheetId="12">#REF!</definedName>
    <definedName name="Source" localSheetId="13">#REF!</definedName>
    <definedName name="Source" localSheetId="8">#REF!</definedName>
    <definedName name="Source">#REF!</definedName>
    <definedName name="STAT44" localSheetId="8">#REF!</definedName>
    <definedName name="STAT44">#REF!</definedName>
    <definedName name="STAT44DTL" localSheetId="8">#REF!</definedName>
    <definedName name="STAT44DTL">#REF!</definedName>
    <definedName name="STAT45" localSheetId="8">#REF!</definedName>
    <definedName name="STAT45">#REF!</definedName>
    <definedName name="STAT45DTL" localSheetId="8">#REF!</definedName>
    <definedName name="STAT45DTL">#REF!</definedName>
    <definedName name="sum" localSheetId="8">#REF!</definedName>
    <definedName name="sum">#REF!</definedName>
    <definedName name="summary" localSheetId="8">#REF!</definedName>
    <definedName name="summary">#REF!</definedName>
    <definedName name="sumptf2" localSheetId="8">#REF!</definedName>
    <definedName name="sumptf2">#REF!</definedName>
    <definedName name="sumtran2" localSheetId="8">#REF!</definedName>
    <definedName name="sumtran2">#REF!</definedName>
    <definedName name="sumtrans" localSheetId="8">#REF!</definedName>
    <definedName name="sumtrans">#REF!</definedName>
    <definedName name="tbl_Additions_Transmission" localSheetId="8">#REF!</definedName>
    <definedName name="tbl_Additions_Transmission">#REF!</definedName>
    <definedName name="tbl_Additions_Transmission2_Mark" localSheetId="8">#REF!</definedName>
    <definedName name="tbl_Additions_Transmission2_Mark">#REF!</definedName>
    <definedName name="tbl_allclassified" localSheetId="8">#REF!</definedName>
    <definedName name="tbl_allclassified">#REF!</definedName>
    <definedName name="tbl_Retirements_Transmission" localSheetId="8">#REF!</definedName>
    <definedName name="tbl_Retirements_Transmission">#REF!</definedName>
    <definedName name="tbl_Retirements_Transmission2_Mark" localSheetId="8">#REF!</definedName>
    <definedName name="tbl_Retirements_Transmission2_Mark">#REF!</definedName>
    <definedName name="temp" localSheetId="8">#REF!</definedName>
    <definedName name="temp">#REF!</definedName>
    <definedName name="test1" hidden="1">#REF!</definedName>
    <definedName name="test2" hidden="1">#REF!</definedName>
    <definedName name="title" localSheetId="8">#REF!</definedName>
    <definedName name="title">#REF!</definedName>
    <definedName name="TM1REBUILDOPTION">1</definedName>
    <definedName name="TOTALPG1" localSheetId="8">#REF!</definedName>
    <definedName name="TOTALPG1">#REF!</definedName>
    <definedName name="TOTALPG2" localSheetId="8">#REF!</definedName>
    <definedName name="TOTALPG2">#REF!</definedName>
    <definedName name="TOTALPG3" localSheetId="8">#REF!</definedName>
    <definedName name="TOTALPG3">#REF!</definedName>
    <definedName name="totaltrans" localSheetId="8">#REF!</definedName>
    <definedName name="totaltrans">#REF!</definedName>
    <definedName name="TP_Footer_User" hidden="1">"Peter Dolan (Ben/Ret, Boston)"</definedName>
    <definedName name="TP_Footer_Version" hidden="1">"v4.00"</definedName>
    <definedName name="Transmission_Rates" localSheetId="8">#REF!</definedName>
    <definedName name="Transmission_Rates">#REF!</definedName>
    <definedName name="TransmissionPlantAllocator">#REF!</definedName>
    <definedName name="U3A2" localSheetId="8">#REF!</definedName>
    <definedName name="U3A2">#REF!</definedName>
    <definedName name="U3A2CHK" localSheetId="8">#REF!</definedName>
    <definedName name="U3A2CHK">#REF!</definedName>
    <definedName name="U3A2DTL" localSheetId="8">#REF!</definedName>
    <definedName name="U3A2DTL">#REF!</definedName>
    <definedName name="unitil_comp" localSheetId="8">#REF!</definedName>
    <definedName name="unitil_comp">#REF!</definedName>
    <definedName name="unitil_pilot" localSheetId="8">#REF!</definedName>
    <definedName name="unitil_pilot">#REF!</definedName>
    <definedName name="wage_alloc_post_96" localSheetId="8">#REF!</definedName>
    <definedName name="wage_alloc_post_96">#REF!</definedName>
    <definedName name="wage_alloc_pre_97" localSheetId="8">#REF!</definedName>
    <definedName name="wage_alloc_pre_97">#REF!</definedName>
    <definedName name="WageAllocator">#REF!</definedName>
    <definedName name="wages" localSheetId="12">#REF!</definedName>
    <definedName name="wages" localSheetId="13">#REF!</definedName>
    <definedName name="wages" localSheetId="8">#REF!</definedName>
    <definedName name="wages">#REF!</definedName>
    <definedName name="WEEK">#REF!</definedName>
    <definedName name="Weeks" localSheetId="12">#REF!</definedName>
    <definedName name="Weeks" localSheetId="13">#REF!</definedName>
    <definedName name="Weeks" localSheetId="8">#REF!</definedName>
    <definedName name="Weeks">#REF!</definedName>
    <definedName name="wgl" hidden="1">{#N/A,#N/A,FALSE,"GLDwnLoad"}</definedName>
    <definedName name="wgl_1" hidden="1">{#N/A,#N/A,FALSE,"GLDwnLoad"}</definedName>
    <definedName name="win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meco1" localSheetId="12">#REF!</definedName>
    <definedName name="wmeco1" localSheetId="13">#REF!</definedName>
    <definedName name="wmeco1" localSheetId="8">#REF!</definedName>
    <definedName name="wmeco1">#REF!</definedName>
    <definedName name="wmeco2" localSheetId="12">#REF!</definedName>
    <definedName name="wmeco2" localSheetId="13">#REF!</definedName>
    <definedName name="wmeco2" localSheetId="8">#REF!</definedName>
    <definedName name="wmeco2">#REF!</definedName>
    <definedName name="wmecococ" localSheetId="8">#REF!</definedName>
    <definedName name="wmecococ">#REF!</definedName>
    <definedName name="WMECOCOC2" localSheetId="8">#REF!</definedName>
    <definedName name="WMECOCOC2">#REF!</definedName>
    <definedName name="WORK1" localSheetId="8">#REF!</definedName>
    <definedName name="WORK1">#REF!</definedName>
    <definedName name="WORK10" localSheetId="8">#REF!</definedName>
    <definedName name="WORK10">#REF!</definedName>
    <definedName name="WORK2" localSheetId="8">#REF!</definedName>
    <definedName name="WORK2">#REF!</definedName>
    <definedName name="WORK3" localSheetId="8">#REF!</definedName>
    <definedName name="WORK3">#REF!</definedName>
    <definedName name="WORK4" localSheetId="8">#REF!</definedName>
    <definedName name="WORK4">#REF!</definedName>
    <definedName name="WORK5" localSheetId="8">#REF!</definedName>
    <definedName name="WORK5">#REF!</definedName>
    <definedName name="WORK6" localSheetId="8">#REF!</definedName>
    <definedName name="WORK6">#REF!</definedName>
    <definedName name="WORK7" localSheetId="8">#REF!</definedName>
    <definedName name="WORK7">#REF!</definedName>
    <definedName name="WORK8" localSheetId="8">#REF!</definedName>
    <definedName name="WORK8">#REF!</definedName>
    <definedName name="WORK9" localSheetId="8">#REF!</definedName>
    <definedName name="WORK9">#REF!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" hidden="1">{#N/A,#N/A,FALSE,"RORMEMO";#N/A,#N/A,FALSE,"RORSUMMARY";#N/A,#N/A,FALSE,"RORDETAIL"}</definedName>
    <definedName name="wr_1" hidden="1">{#N/A,#N/A,FALSE,"RORMEMO";#N/A,#N/A,FALSE,"RORSUMMARY";#N/A,#N/A,FALSE,"RORDETAIL"}</definedName>
    <definedName name="wrn.All._.Sheets.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CLP_GL." hidden="1">{#N/A,#N/A,FALSE,"GLDwnLoad"}</definedName>
    <definedName name="wrn.CLP_GL._1" hidden="1">{#N/A,#N/A,FALSE,"GLDwnLoad"}</definedName>
    <definedName name="wrn.CLP_INPUTS." hidden="1">{#N/A,#N/A,FALSE,"OTHERINPUTS";#N/A,#N/A,FALSE,"DITRATEINPUTS";#N/A,#N/A,FALSE,"SUPPLIEDADJINPUT";#N/A,#N/A,FALSE,"TIMINGDIFFINPUTS";#N/A,#N/A,FALSE,"BR&amp;SUPADJ."}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hidden="1">{#N/A,#N/A,FALSE,"Sheet1";#N/A,#N/A,FALSE,"Sheet1"}</definedName>
    <definedName name="wrn.MARGINALS._.2." hidden="1">{#N/A,#N/A,FALSE,"Sheet1";#N/A,#N/A,FALSE,"Sheet1"}</definedName>
    <definedName name="wrn.MARGINALS._.2._1" hidden="1">{#N/A,#N/A,FALSE,"Sheet1";#N/A,#N/A,FALSE,"Sheet1"}</definedName>
    <definedName name="wrn.MARGINALS._.OFFPEAK." hidden="1">{#N/A,#N/A,FALSE,"Sheet1";#N/A,#N/A,FALSE,"Sheet1"}</definedName>
    <definedName name="wrn.MARGINALS._.OFFPEAK._1" hidden="1">{#N/A,#N/A,FALSE,"Sheet1";#N/A,#N/A,FALSE,"Sheet1"}</definedName>
    <definedName name="wrn.MARGINALS._1" hidden="1">{#N/A,#N/A,FALSE,"Sheet1";#N/A,#N/A,FALSE,"Sheet1"}</definedName>
    <definedName name="wrn.MARGINS.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Print." hidden="1">{#N/A,#N/A,FALSE,"Assumptions ";#N/A,#N/A,FALSE,"Maintenance";#N/A,#N/A,FALSE,"100MW INC";#N/A,#N/A,FALSE,"100MW DEC";#N/A,#N/A,FALSE,"STFUEL 1%";#N/A,#N/A,FALSE,"STFUEL NG"}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REPORT." hidden="1">{"PRN1",#N/A,FALSE,"REPORT";"PRN2",#N/A,FALSE,"REPORT";"PRNA",#N/A,FALSE,"SALE200";"PRNB",#N/A,FALSE,"SALE200";"PRND",#N/A,FALSE,"SALE400";"PRNC",#N/A,FALSE,"SALE400"}</definedName>
    <definedName name="wrn.REPORT._1" hidden="1">{"PRN1",#N/A,FALSE,"REPORT";"PRN2",#N/A,FALSE,"REPORT";"PRNA",#N/A,FALSE,"SALE200";"PRNB",#N/A,FALSE,"SALE200";"PRND",#N/A,FALSE,"SALE400";"PRNC",#N/A,FALSE,"SALE400"}</definedName>
    <definedName name="wrn.ROR_MEMO.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Walingfd.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MECO_GL." hidden="1">{#N/A,#N/A,FALSE,"GLDwnLoad"}</definedName>
    <definedName name="wrn.WMECO_GL._1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xnewname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xwhat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years">#REF!</definedName>
    <definedName name="Z_9B63ECC2_D03C_4BF5_92C9_3A468CBF32B6_.wvu.PrintArea" localSheetId="0" hidden="1">'WS 1 - Wholesale Charges'!$A$1:$J$42</definedName>
    <definedName name="Z_9B63ECC2_D03C_4BF5_92C9_3A468CBF32B6_.wvu.PrintArea" localSheetId="10" hidden="1">'WS 10 - Rate Conversion'!$A$1:$F$131</definedName>
    <definedName name="Z_9B63ECC2_D03C_4BF5_92C9_3A468CBF32B6_.wvu.PrintArea" localSheetId="1" hidden="1">'WS 2 - Wheeling Charges'!$A$1:$J$26</definedName>
    <definedName name="Z_9B63ECC2_D03C_4BF5_92C9_3A468CBF32B6_.wvu.PrintArea" localSheetId="2" hidden="1">'WS 3 - Retail Charges'!$A$1:$J$42</definedName>
    <definedName name="Z_9B63ECC2_D03C_4BF5_92C9_3A468CBF32B6_.wvu.PrintArea" localSheetId="3" hidden="1">'WS 4  - Peak Loads'!$A$1:$J$35</definedName>
    <definedName name="Z_9B63ECC2_D03C_4BF5_92C9_3A468CBF32B6_.wvu.PrintArea" localSheetId="4" hidden="1">'WS 5 - Sched, Sys Control, Disp'!$A$1:$E$26</definedName>
    <definedName name="Z_9B63ECC2_D03C_4BF5_92C9_3A468CBF32B6_.wvu.PrintArea" localSheetId="6" hidden="1">'WS 6 - Retail Conv Factors'!$A$1:$K$50</definedName>
    <definedName name="Z_9B63ECC2_D03C_4BF5_92C9_3A468CBF32B6_.wvu.PrintArea" localSheetId="7" hidden="1">'WS 7 - RNS Charges'!$A$1:$Q$16</definedName>
    <definedName name="Z_9B63ECC2_D03C_4BF5_92C9_3A468CBF32B6_.wvu.PrintArea" localSheetId="8" hidden="1">'WS 8 - ISO Invoices'!$A$1:$O$43</definedName>
    <definedName name="Z_9B63ECC2_D03C_4BF5_92C9_3A468CBF32B6_.wvu.PrintArea" localSheetId="9" hidden="1">'WS 9 - Schedule 1 Revenues'!$A$1:$C$17</definedName>
    <definedName name="Z_9B63ECC2_D03C_4BF5_92C9_3A468CBF32B6_.wvu.PrintTitles" localSheetId="10" hidden="1">'WS 10 - Rate Conversion'!$9:$11</definedName>
    <definedName name="Z_C36A3635_6DB3_49C2_BB6C_31C6593B6360_.wvu.PrintArea" localSheetId="0" hidden="1">'WS 1 - Wholesale Charges'!$A$1:$J$42</definedName>
    <definedName name="Z_C36A3635_6DB3_49C2_BB6C_31C6593B6360_.wvu.PrintArea" localSheetId="10" hidden="1">'WS 10 - Rate Conversion'!$A$1:$F$131</definedName>
    <definedName name="Z_C36A3635_6DB3_49C2_BB6C_31C6593B6360_.wvu.PrintArea" localSheetId="1" hidden="1">'WS 2 - Wheeling Charges'!$A$1:$J$26</definedName>
    <definedName name="Z_C36A3635_6DB3_49C2_BB6C_31C6593B6360_.wvu.PrintArea" localSheetId="2" hidden="1">'WS 3 - Retail Charges'!$A$1:$J$42</definedName>
    <definedName name="Z_C36A3635_6DB3_49C2_BB6C_31C6593B6360_.wvu.PrintArea" localSheetId="3" hidden="1">'WS 4  - Peak Loads'!$A$1:$J$35</definedName>
    <definedName name="Z_C36A3635_6DB3_49C2_BB6C_31C6593B6360_.wvu.PrintArea" localSheetId="4" hidden="1">'WS 5 - Sched, Sys Control, Disp'!$A$1:$E$26</definedName>
    <definedName name="Z_C36A3635_6DB3_49C2_BB6C_31C6593B6360_.wvu.PrintArea" localSheetId="6" hidden="1">'WS 6 - Retail Conv Factors'!$A$1:$K$50</definedName>
    <definedName name="Z_C36A3635_6DB3_49C2_BB6C_31C6593B6360_.wvu.PrintArea" localSheetId="7" hidden="1">'WS 7 - RNS Charges'!$A$1:$Q$16</definedName>
    <definedName name="Z_C36A3635_6DB3_49C2_BB6C_31C6593B6360_.wvu.PrintArea" localSheetId="8" hidden="1">'WS 8 - ISO Invoices'!$A$1:$O$43</definedName>
    <definedName name="Z_C36A3635_6DB3_49C2_BB6C_31C6593B6360_.wvu.PrintArea" localSheetId="9" hidden="1">'WS 9 - Schedule 1 Revenues'!$A$1:$C$17</definedName>
    <definedName name="Z_C36A3635_6DB3_49C2_BB6C_31C6593B6360_.wvu.PrintTitles" localSheetId="10" hidden="1">'WS 10 - Rate Conversion'!$9:$11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O22" i="18"/>
  <c r="O33" i="18"/>
  <c r="O46" i="18"/>
  <c r="C16" i="8"/>
  <c r="C17" i="6"/>
  <c r="C19" i="6"/>
  <c r="J14" i="16"/>
  <c r="J13" i="16"/>
  <c r="J15" i="16"/>
  <c r="F21" i="16"/>
  <c r="J21" i="16"/>
  <c r="F22" i="16"/>
  <c r="J22" i="16"/>
  <c r="F23" i="16"/>
  <c r="J23" i="16"/>
  <c r="F25" i="16"/>
  <c r="J25" i="16"/>
  <c r="F26" i="16"/>
  <c r="J26" i="16"/>
  <c r="F27" i="16"/>
  <c r="J27" i="16"/>
  <c r="F29" i="16"/>
  <c r="J29" i="16"/>
  <c r="F30" i="16"/>
  <c r="J30" i="16"/>
  <c r="F31" i="16"/>
  <c r="J31" i="16"/>
  <c r="F33" i="16"/>
  <c r="J33" i="16"/>
  <c r="F34" i="16"/>
  <c r="J34" i="16"/>
  <c r="F35" i="16"/>
  <c r="J35" i="16"/>
  <c r="F37" i="16"/>
  <c r="J37" i="16"/>
  <c r="F38" i="16"/>
  <c r="J38" i="16"/>
  <c r="F39" i="16"/>
  <c r="J39" i="16"/>
  <c r="F41" i="16"/>
  <c r="J41" i="16"/>
  <c r="F42" i="16"/>
  <c r="J42" i="16"/>
  <c r="F43" i="16"/>
  <c r="H59" i="16"/>
  <c r="H43" i="16"/>
  <c r="J43" i="16"/>
  <c r="F45" i="16"/>
  <c r="H45" i="16"/>
  <c r="J45" i="16"/>
  <c r="F46" i="16"/>
  <c r="H46" i="16"/>
  <c r="J46" i="16"/>
  <c r="F47" i="16"/>
  <c r="H47" i="16"/>
  <c r="J47" i="16"/>
  <c r="F49" i="16"/>
  <c r="H49" i="16"/>
  <c r="J49" i="16"/>
  <c r="F50" i="16"/>
  <c r="H50" i="16"/>
  <c r="J50" i="16"/>
  <c r="F51" i="16"/>
  <c r="H51" i="16"/>
  <c r="J51" i="16"/>
  <c r="J52" i="16"/>
  <c r="J53" i="16"/>
  <c r="J54" i="16"/>
  <c r="C21" i="6"/>
  <c r="C23" i="6"/>
  <c r="C17" i="3"/>
  <c r="C19" i="18"/>
  <c r="C30" i="18"/>
  <c r="C41" i="18"/>
  <c r="C42" i="18"/>
  <c r="C43" i="18"/>
  <c r="D19" i="18"/>
  <c r="D30" i="18"/>
  <c r="D41" i="18"/>
  <c r="D42" i="18"/>
  <c r="D43" i="18"/>
  <c r="E19" i="18"/>
  <c r="E30" i="18"/>
  <c r="E41" i="18"/>
  <c r="E42" i="18"/>
  <c r="E43" i="18"/>
  <c r="F19" i="18"/>
  <c r="F30" i="18"/>
  <c r="F41" i="18"/>
  <c r="F42" i="18"/>
  <c r="F43" i="18"/>
  <c r="G19" i="18"/>
  <c r="G30" i="18"/>
  <c r="G41" i="18"/>
  <c r="G42" i="18"/>
  <c r="G43" i="18"/>
  <c r="H19" i="18"/>
  <c r="H30" i="18"/>
  <c r="H41" i="18"/>
  <c r="H42" i="18"/>
  <c r="H43" i="18"/>
  <c r="I19" i="18"/>
  <c r="I30" i="18"/>
  <c r="I41" i="18"/>
  <c r="I42" i="18"/>
  <c r="I43" i="18"/>
  <c r="J19" i="18"/>
  <c r="J30" i="18"/>
  <c r="J41" i="18"/>
  <c r="J42" i="18"/>
  <c r="J43" i="18"/>
  <c r="K19" i="18"/>
  <c r="K30" i="18"/>
  <c r="K41" i="18"/>
  <c r="K42" i="18"/>
  <c r="K43" i="18"/>
  <c r="L19" i="18"/>
  <c r="L30" i="18"/>
  <c r="L41" i="18"/>
  <c r="L42" i="18"/>
  <c r="L43" i="18"/>
  <c r="M19" i="18"/>
  <c r="M30" i="18"/>
  <c r="M41" i="18"/>
  <c r="M42" i="18"/>
  <c r="M43" i="18"/>
  <c r="N19" i="18"/>
  <c r="N30" i="18"/>
  <c r="N41" i="18"/>
  <c r="N42" i="18"/>
  <c r="N43" i="18"/>
  <c r="O43" i="18"/>
  <c r="J15" i="17"/>
  <c r="J14" i="17"/>
  <c r="J16" i="17"/>
  <c r="F22" i="17"/>
  <c r="H22" i="17"/>
  <c r="J22" i="17"/>
  <c r="F23" i="17"/>
  <c r="H23" i="17"/>
  <c r="J23" i="17"/>
  <c r="F24" i="17"/>
  <c r="H24" i="17"/>
  <c r="J24" i="17"/>
  <c r="F26" i="17"/>
  <c r="H26" i="17"/>
  <c r="J26" i="17"/>
  <c r="F27" i="17"/>
  <c r="H27" i="17"/>
  <c r="J27" i="17"/>
  <c r="F28" i="17"/>
  <c r="H28" i="17"/>
  <c r="J28" i="17"/>
  <c r="F30" i="17"/>
  <c r="H30" i="17"/>
  <c r="J30" i="17"/>
  <c r="F31" i="17"/>
  <c r="H31" i="17"/>
  <c r="J31" i="17"/>
  <c r="F32" i="17"/>
  <c r="H32" i="17"/>
  <c r="J32" i="17"/>
  <c r="F34" i="17"/>
  <c r="H34" i="17"/>
  <c r="J34" i="17"/>
  <c r="F35" i="17"/>
  <c r="H35" i="17"/>
  <c r="J35" i="17"/>
  <c r="F36" i="17"/>
  <c r="H36" i="17"/>
  <c r="J36" i="17"/>
  <c r="F38" i="17"/>
  <c r="H38" i="17"/>
  <c r="J38" i="17"/>
  <c r="F39" i="17"/>
  <c r="H39" i="17"/>
  <c r="J39" i="17"/>
  <c r="F40" i="17"/>
  <c r="H40" i="17"/>
  <c r="J40" i="17"/>
  <c r="F42" i="17"/>
  <c r="H42" i="17"/>
  <c r="J42" i="17"/>
  <c r="F43" i="17"/>
  <c r="H43" i="17"/>
  <c r="J43" i="17"/>
  <c r="F44" i="17"/>
  <c r="H60" i="17"/>
  <c r="H44" i="17"/>
  <c r="J44" i="17"/>
  <c r="F46" i="17"/>
  <c r="H46" i="17"/>
  <c r="J46" i="17"/>
  <c r="F47" i="17"/>
  <c r="H47" i="17"/>
  <c r="J47" i="17"/>
  <c r="F48" i="17"/>
  <c r="H48" i="17"/>
  <c r="J48" i="17"/>
  <c r="F50" i="17"/>
  <c r="H50" i="17"/>
  <c r="J50" i="17"/>
  <c r="F51" i="17"/>
  <c r="H51" i="17"/>
  <c r="J51" i="17"/>
  <c r="F52" i="17"/>
  <c r="H52" i="17"/>
  <c r="J52" i="17"/>
  <c r="J53" i="17"/>
  <c r="J54" i="17"/>
  <c r="J55" i="17"/>
  <c r="P16" i="13"/>
  <c r="P14" i="13"/>
  <c r="P17" i="13"/>
  <c r="C37" i="3"/>
  <c r="C17" i="1"/>
  <c r="F17" i="9"/>
  <c r="H17" i="9"/>
  <c r="F18" i="9"/>
  <c r="H18" i="9"/>
  <c r="F19" i="9"/>
  <c r="H19" i="9"/>
  <c r="F20" i="9"/>
  <c r="H20" i="9"/>
  <c r="F21" i="9"/>
  <c r="H21" i="9"/>
  <c r="F22" i="9"/>
  <c r="H22" i="9"/>
  <c r="F23" i="9"/>
  <c r="H23" i="9"/>
  <c r="F24" i="9"/>
  <c r="H24" i="9"/>
  <c r="F25" i="9"/>
  <c r="H25" i="9"/>
  <c r="F26" i="9"/>
  <c r="H26" i="9"/>
  <c r="F27" i="9"/>
  <c r="H27" i="9"/>
  <c r="F28" i="9"/>
  <c r="H28" i="9"/>
  <c r="H30" i="9"/>
  <c r="D18" i="1"/>
  <c r="E18" i="1"/>
  <c r="D22" i="1"/>
  <c r="E22" i="1"/>
  <c r="F30" i="9"/>
  <c r="D30" i="1"/>
  <c r="E30" i="1"/>
  <c r="C37" i="1"/>
  <c r="G17" i="9"/>
  <c r="G18" i="9"/>
  <c r="G19" i="9"/>
  <c r="G20" i="9"/>
  <c r="G21" i="9"/>
  <c r="G22" i="9"/>
  <c r="G23" i="9"/>
  <c r="G24" i="9"/>
  <c r="G25" i="9"/>
  <c r="G26" i="9"/>
  <c r="G27" i="9"/>
  <c r="G28" i="9"/>
  <c r="G30" i="9"/>
  <c r="D38" i="1"/>
  <c r="E38" i="1"/>
  <c r="C30" i="5"/>
  <c r="K44" i="10"/>
  <c r="C31" i="4"/>
  <c r="D22" i="3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E31" i="4"/>
  <c r="C51" i="4"/>
  <c r="D30" i="3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E51" i="4"/>
  <c r="C71" i="4"/>
  <c r="D38" i="3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E71" i="4"/>
  <c r="C91" i="4"/>
  <c r="D18" i="3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E91" i="4"/>
  <c r="C111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E111" i="4"/>
  <c r="E131" i="4"/>
  <c r="C28" i="5"/>
  <c r="K43" i="10"/>
  <c r="C30" i="4"/>
  <c r="E30" i="4"/>
  <c r="C50" i="4"/>
  <c r="E50" i="4"/>
  <c r="C70" i="4"/>
  <c r="E70" i="4"/>
  <c r="C90" i="4"/>
  <c r="E90" i="4"/>
  <c r="C110" i="4"/>
  <c r="E110" i="4"/>
  <c r="E130" i="4"/>
  <c r="C27" i="5"/>
  <c r="K42" i="10"/>
  <c r="C29" i="4"/>
  <c r="E29" i="4"/>
  <c r="C49" i="4"/>
  <c r="E49" i="4"/>
  <c r="C69" i="4"/>
  <c r="E69" i="4"/>
  <c r="C89" i="4"/>
  <c r="E89" i="4"/>
  <c r="C109" i="4"/>
  <c r="E109" i="4"/>
  <c r="E129" i="4"/>
  <c r="C26" i="5"/>
  <c r="K41" i="10"/>
  <c r="C28" i="4"/>
  <c r="E28" i="4"/>
  <c r="C48" i="4"/>
  <c r="E48" i="4"/>
  <c r="C68" i="4"/>
  <c r="E68" i="4"/>
  <c r="C88" i="4"/>
  <c r="E88" i="4"/>
  <c r="C108" i="4"/>
  <c r="E108" i="4"/>
  <c r="E128" i="4"/>
  <c r="C25" i="5"/>
  <c r="P15" i="15"/>
  <c r="C39" i="10"/>
  <c r="C18" i="10"/>
  <c r="E18" i="10"/>
  <c r="F18" i="10"/>
  <c r="F38" i="10"/>
  <c r="F39" i="10"/>
  <c r="F40" i="10"/>
  <c r="H40" i="10"/>
  <c r="B27" i="4"/>
  <c r="F27" i="4"/>
  <c r="B47" i="4"/>
  <c r="F47" i="4"/>
  <c r="B67" i="4"/>
  <c r="F67" i="4"/>
  <c r="B87" i="4"/>
  <c r="F87" i="4"/>
  <c r="B107" i="4"/>
  <c r="F107" i="4"/>
  <c r="F127" i="4"/>
  <c r="D24" i="5"/>
  <c r="H39" i="10"/>
  <c r="B26" i="4"/>
  <c r="F26" i="4"/>
  <c r="B46" i="4"/>
  <c r="F46" i="4"/>
  <c r="B66" i="4"/>
  <c r="F66" i="4"/>
  <c r="B86" i="4"/>
  <c r="F86" i="4"/>
  <c r="B106" i="4"/>
  <c r="F106" i="4"/>
  <c r="F126" i="4"/>
  <c r="D23" i="5"/>
  <c r="H38" i="10"/>
  <c r="B25" i="4"/>
  <c r="F25" i="4"/>
  <c r="B45" i="4"/>
  <c r="F45" i="4"/>
  <c r="B65" i="4"/>
  <c r="F65" i="4"/>
  <c r="B85" i="4"/>
  <c r="F85" i="4"/>
  <c r="B105" i="4"/>
  <c r="F105" i="4"/>
  <c r="F125" i="4"/>
  <c r="D22" i="5"/>
  <c r="P27" i="15"/>
  <c r="C36" i="10"/>
  <c r="P28" i="15"/>
  <c r="C37" i="10"/>
  <c r="C17" i="10"/>
  <c r="E17" i="10"/>
  <c r="F17" i="10"/>
  <c r="F37" i="10"/>
  <c r="H37" i="10"/>
  <c r="B24" i="4"/>
  <c r="F24" i="4"/>
  <c r="B44" i="4"/>
  <c r="F44" i="4"/>
  <c r="B64" i="4"/>
  <c r="F64" i="4"/>
  <c r="B84" i="4"/>
  <c r="F84" i="4"/>
  <c r="B104" i="4"/>
  <c r="F104" i="4"/>
  <c r="F124" i="4"/>
  <c r="D21" i="5"/>
  <c r="F36" i="10"/>
  <c r="H36" i="10"/>
  <c r="B23" i="4"/>
  <c r="F23" i="4"/>
  <c r="B43" i="4"/>
  <c r="F43" i="4"/>
  <c r="B63" i="4"/>
  <c r="F63" i="4"/>
  <c r="B83" i="4"/>
  <c r="F83" i="4"/>
  <c r="B103" i="4"/>
  <c r="F103" i="4"/>
  <c r="F123" i="4"/>
  <c r="D20" i="5"/>
  <c r="E15" i="10"/>
  <c r="D15" i="10"/>
  <c r="G15" i="10"/>
  <c r="I34" i="10"/>
  <c r="K34" i="10"/>
  <c r="C21" i="4"/>
  <c r="E21" i="4"/>
  <c r="C41" i="4"/>
  <c r="E41" i="4"/>
  <c r="C61" i="4"/>
  <c r="E61" i="4"/>
  <c r="C81" i="4"/>
  <c r="E81" i="4"/>
  <c r="C101" i="4"/>
  <c r="E101" i="4"/>
  <c r="E121" i="4"/>
  <c r="C19" i="5"/>
  <c r="E14" i="10"/>
  <c r="D14" i="10"/>
  <c r="G14" i="10"/>
  <c r="I33" i="10"/>
  <c r="K33" i="10"/>
  <c r="C20" i="4"/>
  <c r="E20" i="4"/>
  <c r="C40" i="4"/>
  <c r="E40" i="4"/>
  <c r="C60" i="4"/>
  <c r="E60" i="4"/>
  <c r="C80" i="4"/>
  <c r="E80" i="4"/>
  <c r="C100" i="4"/>
  <c r="E100" i="4"/>
  <c r="E120" i="4"/>
  <c r="C18" i="5"/>
  <c r="I32" i="10"/>
  <c r="K32" i="10"/>
  <c r="C19" i="4"/>
  <c r="E19" i="4"/>
  <c r="C39" i="4"/>
  <c r="E39" i="4"/>
  <c r="C59" i="4"/>
  <c r="E59" i="4"/>
  <c r="C79" i="4"/>
  <c r="E79" i="4"/>
  <c r="C99" i="4"/>
  <c r="E99" i="4"/>
  <c r="E119" i="4"/>
  <c r="C17" i="5"/>
  <c r="I31" i="10"/>
  <c r="K31" i="10"/>
  <c r="C18" i="4"/>
  <c r="E18" i="4"/>
  <c r="C38" i="4"/>
  <c r="E38" i="4"/>
  <c r="C58" i="4"/>
  <c r="E58" i="4"/>
  <c r="C78" i="4"/>
  <c r="E78" i="4"/>
  <c r="C98" i="4"/>
  <c r="E98" i="4"/>
  <c r="E118" i="4"/>
  <c r="C16" i="5"/>
  <c r="I30" i="10"/>
  <c r="K30" i="10"/>
  <c r="C17" i="4"/>
  <c r="E17" i="4"/>
  <c r="C37" i="4"/>
  <c r="E37" i="4"/>
  <c r="C57" i="4"/>
  <c r="E57" i="4"/>
  <c r="C77" i="4"/>
  <c r="E77" i="4"/>
  <c r="C97" i="4"/>
  <c r="E97" i="4"/>
  <c r="E117" i="4"/>
  <c r="C15" i="5"/>
  <c r="P10" i="15"/>
  <c r="C29" i="10"/>
  <c r="C13" i="10"/>
  <c r="E13" i="10"/>
  <c r="F13" i="10"/>
  <c r="F29" i="10"/>
  <c r="H29" i="10"/>
  <c r="B16" i="4"/>
  <c r="F16" i="4"/>
  <c r="B36" i="4"/>
  <c r="F36" i="4"/>
  <c r="B56" i="4"/>
  <c r="F56" i="4"/>
  <c r="B76" i="4"/>
  <c r="F76" i="4"/>
  <c r="B96" i="4"/>
  <c r="F96" i="4"/>
  <c r="F116" i="4"/>
  <c r="D14" i="5"/>
  <c r="P9" i="15"/>
  <c r="C28" i="10"/>
  <c r="C12" i="10"/>
  <c r="E12" i="10"/>
  <c r="F12" i="10"/>
  <c r="F28" i="10"/>
  <c r="H28" i="10"/>
  <c r="B15" i="4"/>
  <c r="F15" i="4"/>
  <c r="B35" i="4"/>
  <c r="F35" i="4"/>
  <c r="B55" i="4"/>
  <c r="F55" i="4"/>
  <c r="B75" i="4"/>
  <c r="F75" i="4"/>
  <c r="B95" i="4"/>
  <c r="F95" i="4"/>
  <c r="F115" i="4"/>
  <c r="D13" i="5"/>
  <c r="C21" i="2"/>
  <c r="H13" i="10"/>
  <c r="H14" i="10"/>
  <c r="H15" i="10"/>
  <c r="H16" i="10"/>
  <c r="H17" i="10"/>
  <c r="H18" i="10"/>
  <c r="H19" i="10"/>
  <c r="H20" i="10"/>
  <c r="H21" i="10"/>
  <c r="H22" i="10"/>
  <c r="D22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F29" i="15"/>
  <c r="H29" i="15"/>
  <c r="L29" i="15"/>
  <c r="P31" i="15"/>
  <c r="P33" i="15"/>
  <c r="R31" i="15"/>
  <c r="P32" i="15"/>
  <c r="R32" i="15"/>
  <c r="R33" i="15"/>
  <c r="A3" i="18"/>
  <c r="A4" i="17"/>
  <c r="A2" i="16"/>
  <c r="A2" i="17"/>
  <c r="A6" i="13"/>
  <c r="A6" i="18"/>
  <c r="D22" i="17"/>
  <c r="D38" i="17"/>
  <c r="N46" i="18"/>
  <c r="M46" i="18"/>
  <c r="L46" i="18"/>
  <c r="K46" i="18"/>
  <c r="J46" i="18"/>
  <c r="I46" i="18"/>
  <c r="H46" i="18"/>
  <c r="G46" i="18"/>
  <c r="F46" i="18"/>
  <c r="E46" i="18"/>
  <c r="D46" i="18"/>
  <c r="C46" i="18"/>
  <c r="C26" i="18"/>
  <c r="C38" i="18"/>
  <c r="D26" i="18"/>
  <c r="D38" i="18"/>
  <c r="E26" i="18"/>
  <c r="E38" i="18"/>
  <c r="F26" i="18"/>
  <c r="F38" i="18"/>
  <c r="G26" i="18"/>
  <c r="G38" i="18"/>
  <c r="H26" i="18"/>
  <c r="H38" i="18"/>
  <c r="I26" i="18"/>
  <c r="I38" i="18"/>
  <c r="J26" i="18"/>
  <c r="J38" i="18"/>
  <c r="K26" i="18"/>
  <c r="K38" i="18"/>
  <c r="L26" i="18"/>
  <c r="L38" i="18"/>
  <c r="M26" i="18"/>
  <c r="M38" i="18"/>
  <c r="N26" i="18"/>
  <c r="N38" i="18"/>
  <c r="O34" i="18"/>
  <c r="O35" i="18"/>
  <c r="O36" i="18"/>
  <c r="O37" i="18"/>
  <c r="O32" i="18"/>
  <c r="O28" i="18"/>
  <c r="O29" i="18"/>
  <c r="O21" i="18"/>
  <c r="O23" i="18"/>
  <c r="O24" i="18"/>
  <c r="O25" i="18"/>
  <c r="O18" i="18"/>
  <c r="O17" i="18"/>
  <c r="O16" i="18"/>
  <c r="O15" i="18"/>
  <c r="O14" i="18"/>
  <c r="O13" i="18"/>
  <c r="O12" i="18"/>
  <c r="D9" i="18"/>
  <c r="E9" i="18"/>
  <c r="F9" i="18"/>
  <c r="G9" i="18"/>
  <c r="H9" i="18"/>
  <c r="I9" i="18"/>
  <c r="J9" i="18"/>
  <c r="K9" i="18"/>
  <c r="L9" i="18"/>
  <c r="M9" i="18"/>
  <c r="N9" i="18"/>
  <c r="R28" i="15"/>
  <c r="R27" i="15"/>
  <c r="R24" i="15"/>
  <c r="R23" i="15"/>
  <c r="R22" i="15"/>
  <c r="R21" i="15"/>
  <c r="R20" i="15"/>
  <c r="R19" i="15"/>
  <c r="R18" i="15"/>
  <c r="R15" i="15"/>
  <c r="R14" i="15"/>
  <c r="R13" i="15"/>
  <c r="R12" i="15"/>
  <c r="R10" i="15"/>
  <c r="A13" i="17"/>
  <c r="A14" i="17"/>
  <c r="A15" i="17"/>
  <c r="A16" i="17"/>
  <c r="A22" i="17"/>
  <c r="A23" i="17"/>
  <c r="A24" i="17"/>
  <c r="A26" i="17"/>
  <c r="A27" i="17"/>
  <c r="A28" i="17"/>
  <c r="A30" i="17"/>
  <c r="A31" i="17"/>
  <c r="A32" i="17"/>
  <c r="A34" i="17"/>
  <c r="A35" i="17"/>
  <c r="A36" i="17"/>
  <c r="A38" i="17"/>
  <c r="A39" i="17"/>
  <c r="A40" i="17"/>
  <c r="A42" i="17"/>
  <c r="A43" i="17"/>
  <c r="A44" i="17"/>
  <c r="A46" i="17"/>
  <c r="A47" i="17"/>
  <c r="A48" i="17"/>
  <c r="A50" i="17"/>
  <c r="A51" i="17"/>
  <c r="A52" i="17"/>
  <c r="A53" i="17"/>
  <c r="A54" i="17"/>
  <c r="A55" i="17"/>
  <c r="D37" i="16"/>
  <c r="D49" i="16"/>
  <c r="A12" i="16"/>
  <c r="A13" i="16"/>
  <c r="A14" i="16"/>
  <c r="A15" i="16"/>
  <c r="A21" i="16"/>
  <c r="A22" i="16"/>
  <c r="A23" i="16"/>
  <c r="A25" i="16"/>
  <c r="A26" i="16"/>
  <c r="A27" i="16"/>
  <c r="A29" i="16"/>
  <c r="A30" i="16"/>
  <c r="A31" i="16"/>
  <c r="A33" i="16"/>
  <c r="A34" i="16"/>
  <c r="A35" i="16"/>
  <c r="A37" i="16"/>
  <c r="A38" i="16"/>
  <c r="A39" i="16"/>
  <c r="A41" i="16"/>
  <c r="A42" i="16"/>
  <c r="A43" i="16"/>
  <c r="A45" i="16"/>
  <c r="A46" i="16"/>
  <c r="A47" i="16"/>
  <c r="A49" i="16"/>
  <c r="A50" i="16"/>
  <c r="A51" i="16"/>
  <c r="A52" i="16"/>
  <c r="A53" i="16"/>
  <c r="A54" i="16"/>
  <c r="D22" i="16"/>
  <c r="D25" i="16"/>
  <c r="E8" i="15"/>
  <c r="F8" i="15"/>
  <c r="G8" i="15"/>
  <c r="H8" i="15"/>
  <c r="I8" i="15"/>
  <c r="J8" i="15"/>
  <c r="K8" i="15"/>
  <c r="L8" i="15"/>
  <c r="M8" i="15"/>
  <c r="N8" i="15"/>
  <c r="O8" i="15"/>
  <c r="A6" i="15"/>
  <c r="A3" i="15"/>
  <c r="A2" i="15"/>
  <c r="A1" i="15"/>
  <c r="A6" i="5"/>
  <c r="A6" i="4"/>
  <c r="A6" i="8"/>
  <c r="A6" i="10"/>
  <c r="A6" i="6"/>
  <c r="A6" i="9"/>
  <c r="A6" i="3"/>
  <c r="A3" i="5"/>
  <c r="A2" i="5"/>
  <c r="A3" i="4"/>
  <c r="A2" i="4"/>
  <c r="A3" i="8"/>
  <c r="A2" i="8"/>
  <c r="A3" i="13"/>
  <c r="A2" i="13"/>
  <c r="A2" i="18"/>
  <c r="A3" i="10"/>
  <c r="A2" i="10"/>
  <c r="A3" i="6"/>
  <c r="A2" i="6"/>
  <c r="A3" i="9"/>
  <c r="A2" i="9"/>
  <c r="A3" i="3"/>
  <c r="A2" i="3"/>
  <c r="A6" i="2"/>
  <c r="A2" i="2"/>
  <c r="A3" i="2"/>
  <c r="A12" i="13"/>
  <c r="A13" i="13"/>
  <c r="A14" i="13"/>
  <c r="A1" i="13"/>
  <c r="A1" i="2"/>
  <c r="A1" i="9"/>
  <c r="A1" i="8"/>
  <c r="A1" i="10"/>
  <c r="A1" i="5"/>
  <c r="A1" i="3"/>
  <c r="A1" i="6"/>
  <c r="A1" i="4"/>
  <c r="F44" i="10"/>
  <c r="F43" i="10"/>
  <c r="D21" i="10"/>
  <c r="D20" i="10"/>
  <c r="E20" i="10"/>
  <c r="C20" i="10"/>
  <c r="H35" i="10"/>
  <c r="B22" i="4"/>
  <c r="B42" i="4"/>
  <c r="B62" i="4"/>
  <c r="B82" i="4"/>
  <c r="E45" i="10"/>
  <c r="E22" i="10"/>
  <c r="E21" i="10"/>
  <c r="C19" i="10"/>
  <c r="D18" i="10"/>
  <c r="C16" i="10"/>
  <c r="B13" i="10"/>
  <c r="B12" i="10"/>
  <c r="E30" i="9"/>
  <c r="D30" i="9"/>
  <c r="F131" i="4"/>
  <c r="F130" i="4"/>
  <c r="F129" i="4"/>
  <c r="F128" i="4"/>
  <c r="E124" i="4"/>
  <c r="E123" i="4"/>
  <c r="F122" i="4"/>
  <c r="E122" i="4"/>
  <c r="E116" i="4"/>
  <c r="E115" i="4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P13" i="13"/>
  <c r="D23" i="17"/>
  <c r="D30" i="17"/>
  <c r="H45" i="18"/>
  <c r="D41" i="16"/>
  <c r="M45" i="18"/>
  <c r="J45" i="18"/>
  <c r="K45" i="18"/>
  <c r="C45" i="18"/>
  <c r="D45" i="18"/>
  <c r="E45" i="18"/>
  <c r="F45" i="18"/>
  <c r="G45" i="18"/>
  <c r="I45" i="18"/>
  <c r="L45" i="18"/>
  <c r="N45" i="18"/>
  <c r="O45" i="18"/>
  <c r="D35" i="16"/>
  <c r="O26" i="18"/>
  <c r="D45" i="16"/>
  <c r="L12" i="13"/>
  <c r="G18" i="10"/>
  <c r="I39" i="10"/>
  <c r="K39" i="10"/>
  <c r="C26" i="4"/>
  <c r="C46" i="4"/>
  <c r="C66" i="4"/>
  <c r="C86" i="4"/>
  <c r="C106" i="4"/>
  <c r="E106" i="4"/>
  <c r="D42" i="16"/>
  <c r="D33" i="16"/>
  <c r="D26" i="16"/>
  <c r="D30" i="16"/>
  <c r="D29" i="16"/>
  <c r="D27" i="16"/>
  <c r="M12" i="13"/>
  <c r="O38" i="18"/>
  <c r="E12" i="13"/>
  <c r="D39" i="16"/>
  <c r="D38" i="16"/>
  <c r="J12" i="13"/>
  <c r="H12" i="13"/>
  <c r="D50" i="16"/>
  <c r="D23" i="16"/>
  <c r="O12" i="13"/>
  <c r="D47" i="16"/>
  <c r="D43" i="16"/>
  <c r="D46" i="16"/>
  <c r="D51" i="16"/>
  <c r="N12" i="13"/>
  <c r="F12" i="13"/>
  <c r="O30" i="18"/>
  <c r="G12" i="13"/>
  <c r="O42" i="18"/>
  <c r="D31" i="16"/>
  <c r="D34" i="16"/>
  <c r="I12" i="13"/>
  <c r="O41" i="18"/>
  <c r="K12" i="13"/>
  <c r="O19" i="18"/>
  <c r="D35" i="17"/>
  <c r="D32" i="17"/>
  <c r="D26" i="17"/>
  <c r="D27" i="17"/>
  <c r="D34" i="17"/>
  <c r="D31" i="17"/>
  <c r="P14" i="15"/>
  <c r="C31" i="10"/>
  <c r="E16" i="15"/>
  <c r="F16" i="15"/>
  <c r="F25" i="15"/>
  <c r="F35" i="15"/>
  <c r="D45" i="10"/>
  <c r="I29" i="15"/>
  <c r="G25" i="15"/>
  <c r="P12" i="15"/>
  <c r="C30" i="10"/>
  <c r="K29" i="15"/>
  <c r="G29" i="15"/>
  <c r="G16" i="15"/>
  <c r="G35" i="15"/>
  <c r="N29" i="15"/>
  <c r="E25" i="15"/>
  <c r="E29" i="15"/>
  <c r="E35" i="15"/>
  <c r="D52" i="17"/>
  <c r="D50" i="17"/>
  <c r="D47" i="17"/>
  <c r="D51" i="17"/>
  <c r="D39" i="17"/>
  <c r="D44" i="17"/>
  <c r="D42" i="17"/>
  <c r="D40" i="17"/>
  <c r="D43" i="17"/>
  <c r="D46" i="17"/>
  <c r="D48" i="17"/>
  <c r="O16" i="15"/>
  <c r="M16" i="15"/>
  <c r="K16" i="15"/>
  <c r="P21" i="15"/>
  <c r="C34" i="10"/>
  <c r="C15" i="10"/>
  <c r="F15" i="10"/>
  <c r="F34" i="10"/>
  <c r="J29" i="15"/>
  <c r="P24" i="15"/>
  <c r="C44" i="10"/>
  <c r="C22" i="10"/>
  <c r="D29" i="15"/>
  <c r="L16" i="15"/>
  <c r="P23" i="15"/>
  <c r="C43" i="10"/>
  <c r="C21" i="10"/>
  <c r="N25" i="15"/>
  <c r="N16" i="15"/>
  <c r="N35" i="15"/>
  <c r="H25" i="15"/>
  <c r="D28" i="17"/>
  <c r="P20" i="15"/>
  <c r="C33" i="10"/>
  <c r="O29" i="15"/>
  <c r="M29" i="15"/>
  <c r="M25" i="15"/>
  <c r="M35" i="15"/>
  <c r="L25" i="15"/>
  <c r="K25" i="15"/>
  <c r="J16" i="15"/>
  <c r="P18" i="15"/>
  <c r="C32" i="10"/>
  <c r="D24" i="17"/>
  <c r="D36" i="17"/>
  <c r="D16" i="15"/>
  <c r="I25" i="15"/>
  <c r="H16" i="15"/>
  <c r="H35" i="15"/>
  <c r="O25" i="15"/>
  <c r="J25" i="15"/>
  <c r="I16" i="15"/>
  <c r="I35" i="15"/>
  <c r="C30" i="9"/>
  <c r="D25" i="15"/>
  <c r="D35" i="15"/>
  <c r="K35" i="15"/>
  <c r="J35" i="15"/>
  <c r="D23" i="10"/>
  <c r="L35" i="15"/>
  <c r="C14" i="10"/>
  <c r="F14" i="10"/>
  <c r="P29" i="15"/>
  <c r="P16" i="15"/>
  <c r="D12" i="13"/>
  <c r="P12" i="13"/>
  <c r="F30" i="3"/>
  <c r="H30" i="1"/>
  <c r="I38" i="10"/>
  <c r="K38" i="10"/>
  <c r="C25" i="4"/>
  <c r="C45" i="4"/>
  <c r="C65" i="4"/>
  <c r="I40" i="10"/>
  <c r="K40" i="10"/>
  <c r="C27" i="4"/>
  <c r="C47" i="4"/>
  <c r="C67" i="4"/>
  <c r="F30" i="10"/>
  <c r="F42" i="10"/>
  <c r="F32" i="10"/>
  <c r="F31" i="10"/>
  <c r="F41" i="10"/>
  <c r="F33" i="10"/>
  <c r="C87" i="4"/>
  <c r="G30" i="3"/>
  <c r="E30" i="3"/>
  <c r="F30" i="1"/>
  <c r="G30" i="1"/>
  <c r="P25" i="15"/>
  <c r="P35" i="15"/>
  <c r="H30" i="3"/>
  <c r="O35" i="15"/>
  <c r="E23" i="10"/>
  <c r="C23" i="10"/>
  <c r="C85" i="4"/>
  <c r="C107" i="4"/>
  <c r="E107" i="4"/>
  <c r="G22" i="3"/>
  <c r="E22" i="3"/>
  <c r="F22" i="3"/>
  <c r="H22" i="3"/>
  <c r="C45" i="10"/>
  <c r="F37" i="4"/>
  <c r="F117" i="4" s="1"/>
  <c r="D22" i="2"/>
  <c r="C105" i="4"/>
  <c r="E105" i="4"/>
  <c r="F22" i="2"/>
  <c r="G22" i="2"/>
  <c r="H22" i="2"/>
  <c r="E22" i="2"/>
  <c r="F38" i="4"/>
  <c r="F118" i="4" s="1"/>
  <c r="F22" i="1"/>
  <c r="H22" i="1"/>
  <c r="G22" i="1"/>
  <c r="F17" i="4"/>
  <c r="F39" i="4"/>
  <c r="F119" i="4" s="1"/>
  <c r="F40" i="4"/>
  <c r="F120" i="4" s="1"/>
  <c r="F18" i="4"/>
  <c r="F19" i="4"/>
  <c r="F41" i="4"/>
  <c r="F121" i="4" s="1"/>
  <c r="F20" i="4"/>
  <c r="F21" i="4"/>
  <c r="E45" i="4"/>
  <c r="E46" i="4"/>
  <c r="E25" i="4"/>
  <c r="E47" i="4"/>
  <c r="E26" i="4"/>
  <c r="E27" i="4"/>
  <c r="C17" i="2"/>
  <c r="D18" i="2"/>
  <c r="G18" i="3"/>
  <c r="H18" i="3"/>
  <c r="E18" i="3"/>
  <c r="F18" i="3"/>
  <c r="F18" i="2"/>
  <c r="H18" i="2"/>
  <c r="G18" i="2"/>
  <c r="E18" i="2"/>
  <c r="G18" i="1"/>
  <c r="H18" i="1"/>
  <c r="F18" i="1"/>
  <c r="F77" i="4"/>
  <c r="H30" i="5"/>
  <c r="F38" i="1"/>
  <c r="G38" i="1"/>
  <c r="H38" i="1"/>
  <c r="F78" i="4"/>
  <c r="G38" i="3"/>
  <c r="E38" i="3"/>
  <c r="H38" i="3"/>
  <c r="F38" i="3"/>
  <c r="F79" i="4"/>
  <c r="I13" i="5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I14" i="5"/>
  <c r="F80" i="4"/>
  <c r="F81" i="4"/>
  <c r="F57" i="4"/>
  <c r="H15" i="5"/>
  <c r="F58" i="4"/>
  <c r="H16" i="5"/>
  <c r="F59" i="4"/>
  <c r="H17" i="5"/>
  <c r="F60" i="4"/>
  <c r="H18" i="5"/>
  <c r="E85" i="4"/>
  <c r="E86" i="4"/>
  <c r="F61" i="4"/>
  <c r="H19" i="5"/>
  <c r="I20" i="5"/>
  <c r="E87" i="4"/>
  <c r="I21" i="5"/>
  <c r="E65" i="4"/>
  <c r="E125" i="4"/>
  <c r="I22" i="5"/>
  <c r="E66" i="4"/>
  <c r="E126" i="4"/>
  <c r="I23" i="5"/>
  <c r="E67" i="4"/>
  <c r="E127" i="4"/>
  <c r="I24" i="5"/>
  <c r="H25" i="5"/>
  <c r="H26" i="5"/>
  <c r="H27" i="5"/>
  <c r="H28" i="5"/>
</calcChain>
</file>

<file path=xl/sharedStrings.xml><?xml version="1.0" encoding="utf-8"?>
<sst xmlns="http://schemas.openxmlformats.org/spreadsheetml/2006/main" count="828" uniqueCount="338">
  <si>
    <t>Versant Power - Bangor Hydro District (BHD)</t>
  </si>
  <si>
    <t>Attachment 2 - Calculations in Support of Schedule 21-VP Rates</t>
  </si>
  <si>
    <t>Jan 1, 2025 through Dec 31, 2025</t>
  </si>
  <si>
    <t>Summary of Charges for Wholesale Load on the BHD System</t>
  </si>
  <si>
    <t>Worksheet 1</t>
  </si>
  <si>
    <t>Implemented Charges Based on 2023 Data and Certain Forecasts</t>
  </si>
  <si>
    <t>a</t>
  </si>
  <si>
    <t>b</t>
  </si>
  <si>
    <t>c</t>
  </si>
  <si>
    <t>d</t>
  </si>
  <si>
    <t>e</t>
  </si>
  <si>
    <t>f</t>
  </si>
  <si>
    <t>= b / 12</t>
  </si>
  <si>
    <t>= b / 52</t>
  </si>
  <si>
    <t>= b / 365</t>
  </si>
  <si>
    <t>= b / 8760</t>
  </si>
  <si>
    <t>Rates</t>
  </si>
  <si>
    <t>Annual</t>
  </si>
  <si>
    <t>Monthly</t>
  </si>
  <si>
    <t>Weekly</t>
  </si>
  <si>
    <t>Daily</t>
  </si>
  <si>
    <t>Hourly</t>
  </si>
  <si>
    <t>Line</t>
  </si>
  <si>
    <t>Amount</t>
  </si>
  <si>
    <t>$/MW/Yr</t>
  </si>
  <si>
    <t>$/MW/Mo</t>
  </si>
  <si>
    <t>$/MW/Wk</t>
  </si>
  <si>
    <t>$/MW/Day</t>
  </si>
  <si>
    <t>$/MW/Hr</t>
  </si>
  <si>
    <t>Reference(s)</t>
  </si>
  <si>
    <t>Scheduling, System Control and Dispatch Service</t>
  </si>
  <si>
    <t>Scheduling Revenue Requirement</t>
  </si>
  <si>
    <t>WS 5 at 5a</t>
  </si>
  <si>
    <t>3b = 2a / WS 4 at 13f</t>
  </si>
  <si>
    <t>Charges For Wholesale Customers Interconnected on the BHD System - Non-PTF Service</t>
  </si>
  <si>
    <t>Non-PTF Revenue Requirement</t>
  </si>
  <si>
    <t>VP Attachment 2 -  Att F - App B - Att 2 - WS 1 Line 9 Less Line 3</t>
  </si>
  <si>
    <t>For Services Below:</t>
  </si>
  <si>
    <t>7b = 6a / WS 4 at 13f</t>
  </si>
  <si>
    <t>Long-Term Firm Point-To-Point Transmission Service</t>
  </si>
  <si>
    <t>Short-Term Firm Point-To-Point Transmission Service</t>
  </si>
  <si>
    <t>Non-Firm Point-To-Point Transmission Service</t>
  </si>
  <si>
    <t>Network Integration Transmission Service</t>
  </si>
  <si>
    <t>Charges For Wholesale Customers Interconnected on the BHD System - PTF Service</t>
  </si>
  <si>
    <t>PTF Revenue Requirement</t>
  </si>
  <si>
    <t>n/a</t>
  </si>
  <si>
    <t>15b = 14a / WS  4 at 13d</t>
  </si>
  <si>
    <t>Charges For Wholesale Customers Interconnected on the BHD System - Unit Costs of Acting as Customer's Agent for Service</t>
  </si>
  <si>
    <t>RNS &amp; ISO New England Costs</t>
  </si>
  <si>
    <t>WS 7 Line 6</t>
  </si>
  <si>
    <t>23b = 22a / WS4 at 13e</t>
  </si>
  <si>
    <t>Summary of Charges for Wheeling Load on the BHD System</t>
  </si>
  <si>
    <t>Worksheet 2</t>
  </si>
  <si>
    <t>Charges For Wheeling Off the the BHD System</t>
  </si>
  <si>
    <t>Summary of Charges for Retail Load on the BHD System</t>
  </si>
  <si>
    <t>Worksheet 3</t>
  </si>
  <si>
    <t>Scheduling, System Control and Dispatch Service Rate</t>
  </si>
  <si>
    <t>Charges For Retail Customers Interconnected on the BHD System - Non PTF Service</t>
  </si>
  <si>
    <t>VP Attachment 2 -  Att F - App B - Att 2 - WS 1 Line 9</t>
  </si>
  <si>
    <t xml:space="preserve">Charges For Retail Customers Interconnected on the BHD System - PTF Service </t>
  </si>
  <si>
    <t>15b = 14a / WS 4 at 13d</t>
  </si>
  <si>
    <t>Charges For Retail Customers Interconnected on the BHD System - Unit Costs of Acting as Customer's Agent for Service</t>
  </si>
  <si>
    <t>Monthly Peak Load Information</t>
  </si>
  <si>
    <t>Worksheet 4</t>
  </si>
  <si>
    <t>d = a+ b</t>
  </si>
  <si>
    <t>e (= a)</t>
  </si>
  <si>
    <t>f = c + d</t>
  </si>
  <si>
    <t>Total</t>
  </si>
  <si>
    <t>Firm</t>
  </si>
  <si>
    <t>Denominator</t>
  </si>
  <si>
    <t>System</t>
  </si>
  <si>
    <t>P-to-P</t>
  </si>
  <si>
    <t>Wheeling Out</t>
  </si>
  <si>
    <t xml:space="preserve">Firm Load </t>
  </si>
  <si>
    <t xml:space="preserve">Firm Load for </t>
  </si>
  <si>
    <t xml:space="preserve">Including </t>
  </si>
  <si>
    <t>Load</t>
  </si>
  <si>
    <t>Reserved</t>
  </si>
  <si>
    <t>Excl. Wheeling</t>
  </si>
  <si>
    <t>which VP provides</t>
  </si>
  <si>
    <t>( Note 1 )</t>
  </si>
  <si>
    <t>( Note 2 )</t>
  </si>
  <si>
    <t>Out Service</t>
  </si>
  <si>
    <t>ISO Services</t>
  </si>
  <si>
    <t>Month</t>
  </si>
  <si>
    <t>MW</t>
  </si>
  <si>
    <t>January</t>
  </si>
  <si>
    <t>FF1 at 401b:29d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</si>
  <si>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</si>
  <si>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</si>
  <si>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</si>
  <si>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</si>
  <si>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</si>
  <si>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</si>
  <si>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</si>
  <si>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</si>
  <si>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</si>
  <si>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</si>
  <si>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</si>
  <si>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12-CP</t>
  </si>
  <si>
    <t>Average Lines 1:12</t>
  </si>
  <si>
    <t>Notes</t>
  </si>
  <si>
    <t>Column b includes LT Firm PTP reservations for CMP. Source: FF1 at 329:h.</t>
  </si>
  <si>
    <t>Column c includes any Contingent LT Firm loads. Source: Bangor Hydro Electric Co., Letter Order, Docket No. ER09-1103-000 (Jun. 18, 2009).</t>
  </si>
  <si>
    <t>Worksheet 5</t>
  </si>
  <si>
    <t>System Control and Load Dispatching (Retail &amp; Wholesale)</t>
  </si>
  <si>
    <t>FF1 at 321:85b, Company Records</t>
  </si>
  <si>
    <t xml:space="preserve">Less: NEPOOL Schedule 1 Credit and Schedule 1 revenues associated </t>
  </si>
  <si>
    <t>with short-term and non-firm transactions and penalties for unauthorized</t>
  </si>
  <si>
    <t>use of Schedule 1 service</t>
  </si>
  <si>
    <t>Note 1</t>
  </si>
  <si>
    <t>Scheduling, System Control &amp; Dispatching Service</t>
  </si>
  <si>
    <t>Line 1 - Line 2</t>
  </si>
  <si>
    <t>True-Up Scheduling, System Control &amp; Dispatching Service</t>
  </si>
  <si>
    <t>WS 13 Line 32</t>
  </si>
  <si>
    <t>Scheduling, System Control &amp; Dispatching Service for Charges</t>
  </si>
  <si>
    <t>Line 3 + Line 4</t>
  </si>
  <si>
    <t>ISO Invoice (annual amount) + Exhibit: Short-term &amp; Non-firm Sch 1 Revenues</t>
  </si>
  <si>
    <t>Retail Conversion Factors -- Columns 5, 7 &amp; 8, 10 *</t>
  </si>
  <si>
    <t>Worksheet 6</t>
  </si>
  <si>
    <t>d = c / a</t>
  </si>
  <si>
    <t>e = c / b</t>
  </si>
  <si>
    <t>Customer Class</t>
  </si>
  <si>
    <t>Billed kWh FERC Form 1</t>
  </si>
  <si>
    <t>Billing kW</t>
  </si>
  <si>
    <t>12-CP
kW @ Meter</t>
  </si>
  <si>
    <t>kW/kWh Conversion Factor</t>
  </si>
  <si>
    <t>12CP to Billing kW conversion Factor</t>
  </si>
  <si>
    <t>2023 Actual</t>
  </si>
  <si>
    <t>Medium &amp; Large Primary, Secondary &amp; Subtransmission</t>
  </si>
  <si>
    <t>Large Power - Transmission Voltage</t>
  </si>
  <si>
    <t>High Tension D-5/F-2</t>
  </si>
  <si>
    <t xml:space="preserve">Lighting </t>
  </si>
  <si>
    <t xml:space="preserve">Competitive Power </t>
  </si>
  <si>
    <t>Coincident Peak - Secondary Voltage</t>
  </si>
  <si>
    <t>Coincident Peak - Primary Voltage</t>
  </si>
  <si>
    <t>Coincident Peak - Subtransmission Voltage</t>
  </si>
  <si>
    <t>Coincident Peak - Transmission Voltage</t>
  </si>
  <si>
    <t>f = d / e</t>
  </si>
  <si>
    <t>g = c / b</t>
  </si>
  <si>
    <t>h</t>
  </si>
  <si>
    <t>I = h / g</t>
  </si>
  <si>
    <t>Billed kWh FERC Form 1 (Note 1)</t>
  </si>
  <si>
    <t>Billing (kW)</t>
  </si>
  <si>
    <t xml:space="preserve">kW/kWh Conversion Factor </t>
  </si>
  <si>
    <t>Loss
Factor</t>
  </si>
  <si>
    <t>Loss Adjusted kW/kWh Conversion Factor</t>
  </si>
  <si>
    <t>12CP to Billing kW Conversion Factor</t>
  </si>
  <si>
    <t>Loss Adjusted 12 CP to Billing kW Conversion Factor</t>
  </si>
  <si>
    <t>Residential Service</t>
  </si>
  <si>
    <t>General Service</t>
  </si>
  <si>
    <t>Medium Power Secondary</t>
  </si>
  <si>
    <t>Medium Power Primary</t>
  </si>
  <si>
    <t>Large Power - Primary Voltage</t>
  </si>
  <si>
    <t>Large Power - Subtransmission Voltage</t>
  </si>
  <si>
    <t>Street &amp; Area Lighting</t>
  </si>
  <si>
    <t>Municipal Lighting</t>
  </si>
  <si>
    <t>Competitive Power Secondary Voltage</t>
  </si>
  <si>
    <t>Competitive Power Primary Voltage</t>
  </si>
  <si>
    <t>Competitive Power Subtransmission Voltage</t>
  </si>
  <si>
    <t xml:space="preserve">Total </t>
  </si>
  <si>
    <t>*</t>
  </si>
  <si>
    <t>Versant Power will supply losses to retail customers taking standard offer service. Customers not taking Versant Power standard offer service (or those customers' energy suppliers) will be responsible for losses.</t>
  </si>
  <si>
    <t>RNS Charges</t>
  </si>
  <si>
    <t>Worksheet 7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</si>
  <si>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</si>
  <si>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</si>
  <si>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</si>
  <si>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</si>
  <si>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</si>
  <si>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</si>
  <si>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</si>
  <si>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</si>
  <si>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</si>
  <si>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</si>
  <si>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</si>
  <si>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Reference</t>
  </si>
  <si>
    <t>BHD RNS &amp; ISO Charges</t>
  </si>
  <si>
    <t>actual</t>
  </si>
  <si>
    <t>WS 8 Line 32</t>
  </si>
  <si>
    <t>forecast</t>
  </si>
  <si>
    <t>Company Records</t>
  </si>
  <si>
    <t>2023 True Up</t>
  </si>
  <si>
    <t>WS 12 Line 32</t>
  </si>
  <si>
    <t>2025 Charges for Rates</t>
  </si>
  <si>
    <t>Line 4 + Line 5</t>
  </si>
  <si>
    <t>Versant Power (f/k/a Emera Maine) - Bangor Hydro District (BHD)</t>
  </si>
  <si>
    <t>Monthly RNS ISO Invoices for 2023</t>
  </si>
  <si>
    <t>Worksheet 8</t>
  </si>
  <si>
    <t>ISO Schedule 1 RNS Charge</t>
  </si>
  <si>
    <t>ISO Schedule 5 RNS Charge</t>
  </si>
  <si>
    <t>ISO Schedule 1 TOUT Charge</t>
  </si>
  <si>
    <t>OATT Schedule 1 RNS Charge</t>
  </si>
  <si>
    <t>OATT Schedule 9 RNS Charge</t>
  </si>
  <si>
    <t>OATT Schedule 1 TOUT Charge</t>
  </si>
  <si>
    <t>OATT Schedule 8 TOUT Charge</t>
  </si>
  <si>
    <t>Charges</t>
  </si>
  <si>
    <t>ISO Schedule 1 TOUT Payment</t>
  </si>
  <si>
    <t>OATT Schedule 1 RNS Payment</t>
  </si>
  <si>
    <t>OATT Schedule 9 RNS Payment</t>
  </si>
  <si>
    <t>OATT Schedule 1 TOUT Payment</t>
  </si>
  <si>
    <t>OATT Schedule 8 TOUT Payment</t>
  </si>
  <si>
    <t>Credits</t>
  </si>
  <si>
    <t>Non Transmission Expenses</t>
  </si>
  <si>
    <t>Transmission Expenses</t>
  </si>
  <si>
    <t>NEPOOL Expenses</t>
  </si>
  <si>
    <t>ISO Schedule 1 TOUT Adj</t>
  </si>
  <si>
    <t>OATT Schedule1 RNS Adj</t>
  </si>
  <si>
    <t>OATT Schedule 9 RNS Adj</t>
  </si>
  <si>
    <t>OATT Schedule 1 TOUT Adj</t>
  </si>
  <si>
    <t>OATT Schedule 8 TOUT Adj</t>
  </si>
  <si>
    <t>Other Adjustments</t>
  </si>
  <si>
    <t>Adjustments</t>
  </si>
  <si>
    <t>Reconciliation</t>
  </si>
  <si>
    <t>Charges - TOTAL</t>
  </si>
  <si>
    <t>(less) Non-Transmission Expense</t>
  </si>
  <si>
    <t>Charges to WS 7</t>
  </si>
  <si>
    <t>Credits to Att F, App A, ATT 2</t>
  </si>
  <si>
    <t>Credits to Schedule 21-VP WS 5</t>
  </si>
  <si>
    <t>Short-Term &amp; Non-Firm Schedule 1 Revenues for 2023</t>
  </si>
  <si>
    <t>Worksheet 9</t>
  </si>
  <si>
    <t>Local Point-to-Point Customers</t>
  </si>
  <si>
    <t>Sch 1 $</t>
  </si>
  <si>
    <t xml:space="preserve">Brookfield Energy </t>
  </si>
  <si>
    <t>Black Bear Hydro Partners</t>
  </si>
  <si>
    <t>Black Bear SO, LLC</t>
  </si>
  <si>
    <t>CMP/Hermon</t>
  </si>
  <si>
    <t>Schedule 1 revenues associated with short-term and non-firm transactions and penalties for unauthorized use of Schedule 1 service.</t>
  </si>
  <si>
    <t>Conversion of Prospective Rates for Application to Retail Classes</t>
  </si>
  <si>
    <t>Worksheet 10</t>
  </si>
  <si>
    <t>Rates Applicable to Retail Customers</t>
  </si>
  <si>
    <t xml:space="preserve">Loss Adjusted 12 CP to Billing kW Conversion Factor    </t>
  </si>
  <si>
    <t>LNS OATT Annual Rate $/MW/yr</t>
  </si>
  <si>
    <t>Demand Metered Customers ($/kW/mo)</t>
  </si>
  <si>
    <t>Non-Demand Metered Customers  ($/kWh)</t>
  </si>
  <si>
    <t>(1)</t>
  </si>
  <si>
    <t>(3)</t>
  </si>
  <si>
    <t>(4)</t>
  </si>
  <si>
    <t>(5)</t>
  </si>
  <si>
    <t>(6)</t>
  </si>
  <si>
    <t>(7)</t>
  </si>
  <si>
    <t>Exhibit 13</t>
  </si>
  <si>
    <t>Exhibit 1c</t>
  </si>
  <si>
    <t>[col. (4) x col. (5)] / 12 / 1000</t>
  </si>
  <si>
    <t>col. (3) x col. (5) / 1000</t>
  </si>
  <si>
    <t>Retail Customers -- Non PTF Service</t>
  </si>
  <si>
    <t>monthly kwh</t>
  </si>
  <si>
    <t>monthly kw</t>
  </si>
  <si>
    <t>mo rev kw</t>
  </si>
  <si>
    <t>mo rev</t>
  </si>
  <si>
    <t>annual</t>
  </si>
  <si>
    <t>Retail Customers -- PTF Service</t>
  </si>
  <si>
    <t>Retail Customers -- BHE's Unit Costs of Acting As Customer's Agent</t>
  </si>
  <si>
    <t>Retail Customers -- Schedule 1</t>
  </si>
  <si>
    <t>Retail Customers -- (Refunds) and Surcharges</t>
  </si>
  <si>
    <t>Total Retail Charges</t>
  </si>
  <si>
    <t>Reconciliation of FERC Form 1 Data and BHD 2023 OATT Change Filing to Worksheet 6</t>
  </si>
  <si>
    <t>Worksheet 11</t>
  </si>
  <si>
    <t>TOTAL</t>
  </si>
  <si>
    <t>RESIDENTIAL</t>
  </si>
  <si>
    <t>SM COMMERCIAL</t>
  </si>
  <si>
    <t>MEDIUM</t>
  </si>
  <si>
    <t>Competitive D-1</t>
  </si>
  <si>
    <t>Competitive D-2</t>
  </si>
  <si>
    <t>TOTAL MEDIUM</t>
  </si>
  <si>
    <t>LARGE</t>
  </si>
  <si>
    <t>Primary Power Large D-4</t>
  </si>
  <si>
    <t>Competitive D-4</t>
  </si>
  <si>
    <t>Trans Power Subtrans Voltage</t>
  </si>
  <si>
    <t>Trans Power Trans Voltage</t>
  </si>
  <si>
    <t>Concident Peak - Primary Voltage</t>
  </si>
  <si>
    <t>Coincident Peak Trans Power Subtrans Voltage</t>
  </si>
  <si>
    <t>g</t>
  </si>
  <si>
    <t>Coincident Peak Trans Power Trans Voltage</t>
  </si>
  <si>
    <t>TOTAL LARGE</t>
  </si>
  <si>
    <t>LIGHTS</t>
  </si>
  <si>
    <t>Municipal Lighting (Energy)</t>
  </si>
  <si>
    <t>TOTAL LIGHTS</t>
  </si>
  <si>
    <t>PAPERS</t>
  </si>
  <si>
    <t>Competitive D-3</t>
  </si>
  <si>
    <t>Competitive F-2</t>
  </si>
  <si>
    <t>Competitive T-1</t>
  </si>
  <si>
    <t>TOTAL SALES</t>
  </si>
  <si>
    <t>Charges For Retail Customers Interconnected on the BHD System - Unit Costs of Acting as Customer's Agent for Service True-up and Interest Calculation for 2023</t>
  </si>
  <si>
    <t>Worksheet 12</t>
  </si>
  <si>
    <t>No.</t>
  </si>
  <si>
    <t>True-up Calculation</t>
  </si>
  <si>
    <t>Revenues (Enter Credit)</t>
  </si>
  <si>
    <t>Att F - App B - Att 2 - Attachment _Supp 2</t>
  </si>
  <si>
    <t>Net Revenues (Line 1 - Line 2)</t>
  </si>
  <si>
    <t>Actual Annual Revenue Requirements</t>
  </si>
  <si>
    <t>True-up Rebill/(Refund) (Line 3 + Line 4)</t>
  </si>
  <si>
    <t/>
  </si>
  <si>
    <t>Interest Calculation</t>
  </si>
  <si>
    <t>(A)</t>
  </si>
  <si>
    <t>(B)</t>
  </si>
  <si>
    <t>(C) = (A) x (B)</t>
  </si>
  <si>
    <t>FERC Monthly</t>
  </si>
  <si>
    <t>Year</t>
  </si>
  <si>
    <r>
      <t xml:space="preserve">Balance </t>
    </r>
    <r>
      <rPr>
        <sz val="10"/>
        <rFont val="Times New Roman"/>
        <family val="1"/>
      </rPr>
      <t>(a)</t>
    </r>
  </si>
  <si>
    <t>Interest Rate</t>
  </si>
  <si>
    <t>Interest</t>
  </si>
  <si>
    <t>(b)</t>
  </si>
  <si>
    <t>(c)</t>
  </si>
  <si>
    <t>Total Interest (Sum Lines 6 thru 29)</t>
  </si>
  <si>
    <t>True-up (Line 5)</t>
  </si>
  <si>
    <t>Total True-up &amp; Interest (Line 30 + Line 31)</t>
  </si>
  <si>
    <t>Notes:</t>
  </si>
  <si>
    <t>(a)</t>
  </si>
  <si>
    <t>Interest is compounded quarterly per Code of Federal Regulation Title 18 Section 35.19a.</t>
  </si>
  <si>
    <t>Interest rate per Code of Federal Regulation Title 18 Section 35.19a.</t>
  </si>
  <si>
    <t>Interest rate forecast (Average Lines 6 thru 22)</t>
  </si>
  <si>
    <t xml:space="preserve">The average interest rate for June-December will be re-calculated with actual interest rates during the subsequent  </t>
  </si>
  <si>
    <t>annual update, and refunded/surcharged to customers appropriately.</t>
  </si>
  <si>
    <t>Scheduling, System Control and Dispatch Service True-up and Interest Calculation for 2023</t>
  </si>
  <si>
    <t>Worksheet 13</t>
  </si>
  <si>
    <t>WS 5 Line 3</t>
  </si>
  <si>
    <t>Retail Rates</t>
  </si>
  <si>
    <t>Worksheet 14</t>
  </si>
  <si>
    <t>CY 2025 Rates</t>
  </si>
  <si>
    <t>CY 2024 Rates</t>
  </si>
  <si>
    <t>Rates % change</t>
  </si>
  <si>
    <t xml:space="preserve">VP BHD  </t>
  </si>
  <si>
    <t>$/kW-Mo</t>
  </si>
  <si>
    <t>$/kWh</t>
  </si>
  <si>
    <t>Rate Tariffs</t>
  </si>
  <si>
    <t xml:space="preserve">% </t>
  </si>
  <si>
    <t>A;A-1;A-2;A-3;A-4;A-20;A-5;</t>
  </si>
  <si>
    <t>B-1;B-2;B-3;B-4;</t>
  </si>
  <si>
    <t>M-2;SB-S3;SB-S5;</t>
  </si>
  <si>
    <t>M-1;SB-P3;SB-P5;</t>
  </si>
  <si>
    <t>D-4;SB-L3;SB-L5;</t>
  </si>
  <si>
    <t>T-1;</t>
  </si>
  <si>
    <t>G-1;</t>
  </si>
  <si>
    <t>G-2;</t>
  </si>
  <si>
    <t>SB-S3;SB-S5;</t>
  </si>
  <si>
    <t>SB-P3;SB-P5;SB-L3;SB-L5;</t>
  </si>
  <si>
    <t>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</si>
</sst>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&quot;$&quot;#,##0.0000_);\(&quot;$&quot;#,##0.0000\)"/>
    <numFmt numFmtId="167" formatCode="0.00000"/>
    <numFmt numFmtId="168" formatCode="&quot;$&quot;#,##0"/>
    <numFmt numFmtId="169" formatCode="&quot;$&quot;#,##0.00000_);\(&quot;$&quot;#,##0.00000\)"/>
    <numFmt numFmtId="170" formatCode="0.0%"/>
    <numFmt numFmtId="171" formatCode="&quot;$&quot;#,##0.00"/>
    <numFmt numFmtId="172" formatCode="0_)"/>
    <numFmt numFmtId="173" formatCode="_(* #,##0_);_(* \(#,##0\);_(* &quot;-&quot;??_);_(@_)"/>
    <numFmt numFmtId="174" formatCode="_(* #,##0.000_);_(* \(#,##0.000\);_(* &quot;-&quot;??_);_(@_)"/>
    <numFmt numFmtId="175" formatCode="0.000"/>
    <numFmt numFmtId="176" formatCode="_(* #,##0.00000_);_(* \(#,##0.00000\);_(* &quot;-&quot;??_);_(@_)"/>
    <numFmt numFmtId="177" formatCode="0.000%"/>
    <numFmt numFmtId="178" formatCode="_(* #,##0.0_);_(* \(#,##0.0\);_(* &quot;-&quot;??_);_(@_)"/>
    <numFmt numFmtId="179" formatCode="0.0000%"/>
  </numFmts>
  <fonts count="2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u/>
      <sz val="12"/>
      <name val="Arial"/>
      <family val="2"/>
    </font>
    <font>
      <strike/>
      <sz val="12"/>
      <name val="Arial"/>
      <family val="2"/>
    </font>
    <font>
      <b/>
      <sz val="10"/>
      <name val="Times New Roman"/>
      <family val="1"/>
    </font>
    <font>
      <sz val="12"/>
      <color theme="1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/>
    <xf numFmtId="44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9" applyNumberFormat="0" applyFill="0" applyProtection="0">
      <alignment horizontal="center" vertical="center"/>
    </xf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6" fillId="0" borderId="10" applyAlignment="0" applyProtection="0"/>
    <xf numFmtId="3" fontId="15" fillId="0" borderId="9" applyAlignment="0" applyProtection="0"/>
    <xf numFmtId="0" fontId="15" fillId="0" borderId="11" applyNumberFormat="0" applyAlignment="0" applyProtection="0"/>
    <xf numFmtId="3" fontId="15" fillId="0" borderId="9" applyAlignment="0" applyProtection="0"/>
    <xf numFmtId="0" fontId="15" fillId="0" borderId="9" applyNumberFormat="0" applyAlignment="0" applyProtection="0"/>
    <xf numFmtId="0" fontId="15" fillId="0" borderId="11" applyNumberFormat="0" applyAlignment="0" applyProtection="0"/>
    <xf numFmtId="0" fontId="15" fillId="0" borderId="9" applyNumberFormat="0" applyAlignment="0" applyProtection="0"/>
    <xf numFmtId="0" fontId="15" fillId="0" borderId="9" applyNumberFormat="0" applyAlignment="0" applyProtection="0"/>
    <xf numFmtId="0" fontId="15" fillId="0" borderId="9" applyNumberFormat="0" applyFill="0" applyAlignment="0" applyProtection="0"/>
    <xf numFmtId="3" fontId="16" fillId="0" borderId="0" applyFill="0" applyBorder="0" applyAlignment="0" applyProtection="0"/>
    <xf numFmtId="3" fontId="16" fillId="0" borderId="0" applyFill="0" applyAlignment="0" applyProtection="0"/>
    <xf numFmtId="3" fontId="16" fillId="0" borderId="0" applyFill="0" applyAlignment="0" applyProtection="0"/>
    <xf numFmtId="3" fontId="16" fillId="0" borderId="0" applyFill="0" applyAlignment="0" applyProtection="0"/>
    <xf numFmtId="3" fontId="16" fillId="0" borderId="0" applyFill="0" applyAlignment="0" applyProtection="0"/>
    <xf numFmtId="3" fontId="16" fillId="0" borderId="10" applyFill="0" applyAlignment="0" applyProtection="0"/>
    <xf numFmtId="3" fontId="16" fillId="0" borderId="10" applyFill="0" applyAlignment="0" applyProtection="0"/>
    <xf numFmtId="3" fontId="16" fillId="0" borderId="1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173" fontId="17" fillId="0" borderId="12">
      <alignment horizontal="center" vertical="center"/>
    </xf>
    <xf numFmtId="0" fontId="16" fillId="0" borderId="10">
      <alignment horizontal="right" vertical="center"/>
    </xf>
    <xf numFmtId="3" fontId="16" fillId="3" borderId="10">
      <alignment horizontal="center" vertical="center"/>
    </xf>
    <xf numFmtId="0" fontId="16" fillId="3" borderId="10">
      <alignment horizontal="right" vertical="center"/>
    </xf>
    <xf numFmtId="0" fontId="15" fillId="0" borderId="11">
      <alignment horizontal="left" vertical="center"/>
    </xf>
    <xf numFmtId="0" fontId="15" fillId="0" borderId="9">
      <alignment horizontal="center" vertical="center"/>
    </xf>
    <xf numFmtId="0" fontId="17" fillId="0" borderId="13">
      <alignment horizontal="center" vertical="center"/>
    </xf>
    <xf numFmtId="0" fontId="16" fillId="4" borderId="10"/>
    <xf numFmtId="3" fontId="18" fillId="0" borderId="10"/>
    <xf numFmtId="3" fontId="19" fillId="0" borderId="10"/>
    <xf numFmtId="0" fontId="15" fillId="0" borderId="9">
      <alignment horizontal="left" vertical="top"/>
    </xf>
    <xf numFmtId="0" fontId="20" fillId="0" borderId="10"/>
    <xf numFmtId="0" fontId="15" fillId="0" borderId="9">
      <alignment horizontal="left" vertical="center"/>
    </xf>
    <xf numFmtId="0" fontId="16" fillId="3" borderId="14"/>
    <xf numFmtId="3" fontId="16" fillId="0" borderId="10">
      <alignment horizontal="right" vertical="center"/>
    </xf>
    <xf numFmtId="0" fontId="15" fillId="0" borderId="9">
      <alignment horizontal="right" vertical="center"/>
    </xf>
    <xf numFmtId="0" fontId="16" fillId="0" borderId="13">
      <alignment horizontal="center" vertical="center"/>
    </xf>
    <xf numFmtId="3" fontId="16" fillId="0" borderId="10"/>
    <xf numFmtId="3" fontId="16" fillId="0" borderId="10"/>
    <xf numFmtId="0" fontId="16" fillId="0" borderId="13">
      <alignment horizontal="center" vertical="center" wrapText="1"/>
    </xf>
    <xf numFmtId="0" fontId="21" fillId="0" borderId="13">
      <alignment horizontal="left" vertical="center" indent="1"/>
    </xf>
    <xf numFmtId="0" fontId="22" fillId="0" borderId="10"/>
    <xf numFmtId="0" fontId="15" fillId="0" borderId="11">
      <alignment horizontal="left" vertical="center"/>
    </xf>
    <xf numFmtId="3" fontId="16" fillId="0" borderId="10">
      <alignment horizontal="center" vertical="center"/>
    </xf>
    <xf numFmtId="0" fontId="15" fillId="0" borderId="9">
      <alignment horizontal="center" vertical="center"/>
    </xf>
    <xf numFmtId="0" fontId="15" fillId="0" borderId="9">
      <alignment horizontal="center" vertical="center"/>
    </xf>
    <xf numFmtId="0" fontId="15" fillId="0" borderId="11">
      <alignment horizontal="left" vertical="center"/>
    </xf>
    <xf numFmtId="0" fontId="15" fillId="0" borderId="11">
      <alignment horizontal="left" vertical="center"/>
    </xf>
    <xf numFmtId="0" fontId="23" fillId="0" borderId="10"/>
  </cellStyleXfs>
  <cellXfs count="263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44" fontId="0" fillId="0" borderId="0" xfId="1" applyFont="1"/>
    <xf numFmtId="165" fontId="0" fillId="0" borderId="0" xfId="1" applyNumberFormat="1" applyFont="1"/>
    <xf numFmtId="164" fontId="4" fillId="0" borderId="0" xfId="1" applyNumberFormat="1" applyFont="1"/>
    <xf numFmtId="44" fontId="4" fillId="0" borderId="0" xfId="1" applyFont="1"/>
    <xf numFmtId="165" fontId="4" fillId="0" borderId="0" xfId="1" applyNumberFormat="1" applyFont="1"/>
    <xf numFmtId="164" fontId="4" fillId="0" borderId="0" xfId="1" applyNumberFormat="1" applyFont="1" applyAlignment="1">
      <alignment horizontal="center"/>
    </xf>
    <xf numFmtId="44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quotePrefix="1" applyFont="1" applyAlignment="1">
      <alignment horizontal="center"/>
    </xf>
    <xf numFmtId="165" fontId="4" fillId="0" borderId="0" xfId="1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44" fontId="0" fillId="0" borderId="0" xfId="1" quotePrefix="1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1" quotePrefix="1" applyNumberFormat="1" applyFont="1" applyAlignment="1">
      <alignment horizontal="center"/>
    </xf>
    <xf numFmtId="0" fontId="0" fillId="0" borderId="0" xfId="0" applyAlignment="1">
      <alignment horizontal="left" indent="1"/>
    </xf>
    <xf numFmtId="37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7" fontId="0" fillId="0" borderId="0" xfId="0" applyNumberFormat="1" applyAlignment="1">
      <alignment horizontal="left"/>
    </xf>
    <xf numFmtId="7" fontId="0" fillId="0" borderId="0" xfId="0" applyNumberFormat="1"/>
    <xf numFmtId="44" fontId="0" fillId="0" borderId="0" xfId="1" applyFont="1" applyAlignment="1">
      <alignment horizontal="left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center"/>
    </xf>
    <xf numFmtId="44" fontId="0" fillId="0" borderId="0" xfId="1" applyFont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44" fontId="0" fillId="0" borderId="0" xfId="1" quotePrefix="1" applyFont="1"/>
    <xf numFmtId="165" fontId="0" fillId="0" borderId="0" xfId="1" quotePrefix="1" applyNumberFormat="1" applyFont="1"/>
    <xf numFmtId="168" fontId="0" fillId="0" borderId="0" xfId="0" applyNumberFormat="1" applyAlignment="1">
      <alignment horizontal="right"/>
    </xf>
    <xf numFmtId="168" fontId="0" fillId="0" borderId="0" xfId="0" applyNumberFormat="1"/>
    <xf numFmtId="169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170" fontId="0" fillId="0" borderId="0" xfId="2" applyNumberFormat="1" applyFont="1"/>
    <xf numFmtId="7" fontId="0" fillId="0" borderId="3" xfId="0" applyNumberFormat="1" applyBorder="1"/>
    <xf numFmtId="44" fontId="0" fillId="0" borderId="3" xfId="1" applyFont="1" applyBorder="1"/>
    <xf numFmtId="7" fontId="0" fillId="0" borderId="3" xfId="1" applyNumberFormat="1" applyFont="1" applyBorder="1"/>
    <xf numFmtId="0" fontId="0" fillId="0" borderId="5" xfId="0" applyBorder="1"/>
    <xf numFmtId="44" fontId="0" fillId="0" borderId="0" xfId="0" applyNumberForma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71" fontId="0" fillId="0" borderId="0" xfId="0" applyNumberFormat="1" applyAlignment="1">
      <alignment horizontal="centerContinuous"/>
    </xf>
    <xf numFmtId="171" fontId="0" fillId="0" borderId="0" xfId="0" applyNumberFormat="1"/>
    <xf numFmtId="168" fontId="0" fillId="0" borderId="0" xfId="0" quotePrefix="1" applyNumberFormat="1" applyAlignment="1">
      <alignment horizontal="left"/>
    </xf>
    <xf numFmtId="168" fontId="0" fillId="0" borderId="0" xfId="0" quotePrefix="1" applyNumberFormat="1"/>
    <xf numFmtId="44" fontId="0" fillId="0" borderId="0" xfId="0" quotePrefix="1" applyNumberFormat="1"/>
    <xf numFmtId="5" fontId="0" fillId="0" borderId="0" xfId="0" applyNumberFormat="1"/>
    <xf numFmtId="42" fontId="0" fillId="0" borderId="0" xfId="1" applyNumberFormat="1" applyFont="1"/>
    <xf numFmtId="173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4" fillId="0" borderId="0" xfId="0" applyNumberFormat="1" applyFont="1" applyAlignment="1">
      <alignment horizontal="center"/>
    </xf>
    <xf numFmtId="0" fontId="6" fillId="0" borderId="0" xfId="0" quotePrefix="1" applyFont="1"/>
    <xf numFmtId="1" fontId="0" fillId="0" borderId="0" xfId="3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74" fontId="6" fillId="0" borderId="0" xfId="3" applyNumberFormat="1" applyFont="1"/>
    <xf numFmtId="38" fontId="0" fillId="0" borderId="0" xfId="0" applyNumberFormat="1"/>
    <xf numFmtId="39" fontId="0" fillId="0" borderId="0" xfId="0" applyNumberFormat="1" applyAlignment="1">
      <alignment horizontal="right"/>
    </xf>
    <xf numFmtId="175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73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3" fontId="0" fillId="0" borderId="0" xfId="0" applyNumberFormat="1"/>
    <xf numFmtId="173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3" fontId="0" fillId="0" borderId="0" xfId="0" quotePrefix="1" applyNumberFormat="1" applyAlignment="1">
      <alignment horizontal="right"/>
    </xf>
    <xf numFmtId="43" fontId="0" fillId="0" borderId="0" xfId="0" applyNumberFormat="1" applyAlignment="1">
      <alignment horizontal="center"/>
    </xf>
    <xf numFmtId="3" fontId="4" fillId="0" borderId="0" xfId="0" applyNumberFormat="1" applyFont="1"/>
    <xf numFmtId="0" fontId="8" fillId="0" borderId="0" xfId="0" applyFont="1" applyAlignment="1">
      <alignment horizontal="right"/>
    </xf>
    <xf numFmtId="43" fontId="0" fillId="0" borderId="0" xfId="0" applyNumberFormat="1"/>
    <xf numFmtId="3" fontId="0" fillId="0" borderId="0" xfId="0" applyNumberFormat="1" applyAlignment="1">
      <alignment horizontal="right"/>
    </xf>
    <xf numFmtId="176" fontId="0" fillId="0" borderId="0" xfId="0" applyNumberFormat="1"/>
    <xf numFmtId="177" fontId="0" fillId="0" borderId="0" xfId="0" applyNumberFormat="1"/>
    <xf numFmtId="178" fontId="0" fillId="0" borderId="0" xfId="0" applyNumberFormat="1" applyAlignment="1">
      <alignment horizontal="right"/>
    </xf>
    <xf numFmtId="179" fontId="0" fillId="0" borderId="0" xfId="0" applyNumberFormat="1"/>
    <xf numFmtId="170" fontId="0" fillId="0" borderId="3" xfId="2" applyNumberFormat="1" applyFont="1" applyBorder="1"/>
    <xf numFmtId="170" fontId="0" fillId="0" borderId="4" xfId="2" applyNumberFormat="1" applyFont="1" applyBorder="1"/>
    <xf numFmtId="0" fontId="9" fillId="0" borderId="0" xfId="0" applyFont="1"/>
    <xf numFmtId="10" fontId="0" fillId="0" borderId="0" xfId="2" applyNumberFormat="1" applyFont="1"/>
    <xf numFmtId="9" fontId="0" fillId="0" borderId="0" xfId="2" applyFont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165" fontId="0" fillId="0" borderId="4" xfId="1" applyNumberFormat="1" applyFont="1" applyFill="1" applyBorder="1"/>
    <xf numFmtId="44" fontId="0" fillId="0" borderId="3" xfId="1" applyFont="1" applyFill="1" applyBorder="1"/>
    <xf numFmtId="7" fontId="0" fillId="0" borderId="3" xfId="1" applyNumberFormat="1" applyFont="1" applyFill="1" applyBorder="1"/>
    <xf numFmtId="167" fontId="0" fillId="0" borderId="4" xfId="0" applyNumberFormat="1" applyBorder="1"/>
    <xf numFmtId="44" fontId="0" fillId="0" borderId="6" xfId="0" applyNumberFormat="1" applyBorder="1"/>
    <xf numFmtId="0" fontId="0" fillId="0" borderId="7" xfId="0" applyBorder="1"/>
    <xf numFmtId="164" fontId="0" fillId="0" borderId="0" xfId="1" quotePrefix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left"/>
    </xf>
    <xf numFmtId="0" fontId="11" fillId="0" borderId="0" xfId="0" applyFont="1" applyAlignment="1">
      <alignment horizontal="left" indent="1"/>
    </xf>
    <xf numFmtId="173" fontId="0" fillId="0" borderId="0" xfId="12" applyNumberFormat="1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6" fillId="0" borderId="0" xfId="0" applyNumberFormat="1" applyFont="1"/>
    <xf numFmtId="44" fontId="3" fillId="0" borderId="0" xfId="0" applyNumberFormat="1" applyFont="1"/>
    <xf numFmtId="164" fontId="3" fillId="0" borderId="0" xfId="1" applyNumberFormat="1" applyFont="1" applyFill="1"/>
    <xf numFmtId="0" fontId="12" fillId="0" borderId="0" xfId="6" applyFont="1"/>
    <xf numFmtId="0" fontId="9" fillId="0" borderId="0" xfId="18" applyFont="1" applyAlignment="1">
      <alignment horizontal="center"/>
    </xf>
    <xf numFmtId="0" fontId="12" fillId="0" borderId="0" xfId="18" applyFont="1" applyAlignment="1">
      <alignment horizontal="left"/>
    </xf>
    <xf numFmtId="0" fontId="9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12" fillId="0" borderId="0" xfId="18" applyFont="1" applyAlignment="1">
      <alignment horizontal="center"/>
    </xf>
    <xf numFmtId="164" fontId="12" fillId="0" borderId="0" xfId="19" applyNumberFormat="1" applyFont="1"/>
    <xf numFmtId="0" fontId="12" fillId="0" borderId="0" xfId="6" applyFont="1" applyAlignment="1">
      <alignment horizontal="left" indent="1"/>
    </xf>
    <xf numFmtId="43" fontId="9" fillId="0" borderId="0" xfId="20" applyFont="1" applyAlignment="1">
      <alignment horizontal="center"/>
    </xf>
    <xf numFmtId="173" fontId="12" fillId="0" borderId="0" xfId="20" applyNumberFormat="1" applyFont="1" applyAlignment="1">
      <alignment horizontal="center"/>
    </xf>
    <xf numFmtId="2" fontId="12" fillId="0" borderId="0" xfId="6" applyNumberFormat="1" applyFont="1" applyAlignment="1">
      <alignment horizontal="center"/>
    </xf>
    <xf numFmtId="173" fontId="12" fillId="0" borderId="0" xfId="22" applyNumberFormat="1" applyFont="1" applyAlignment="1">
      <alignment horizontal="center"/>
    </xf>
    <xf numFmtId="179" fontId="12" fillId="0" borderId="0" xfId="20" applyNumberFormat="1" applyFont="1" applyAlignment="1">
      <alignment horizontal="center"/>
    </xf>
    <xf numFmtId="10" fontId="12" fillId="0" borderId="0" xfId="21" applyNumberFormat="1" applyFont="1" applyAlignment="1">
      <alignment horizontal="center"/>
    </xf>
    <xf numFmtId="0" fontId="12" fillId="0" borderId="0" xfId="6" applyFont="1" applyAlignment="1">
      <alignment horizontal="right"/>
    </xf>
    <xf numFmtId="164" fontId="12" fillId="0" borderId="0" xfId="19" applyNumberFormat="1" applyFont="1" applyAlignment="1">
      <alignment horizontal="center"/>
    </xf>
    <xf numFmtId="41" fontId="12" fillId="0" borderId="0" xfId="20" applyNumberFormat="1" applyFont="1" applyAlignment="1">
      <alignment horizontal="center"/>
    </xf>
    <xf numFmtId="0" fontId="13" fillId="0" borderId="0" xfId="5" applyFont="1" applyAlignment="1">
      <alignment horizontal="center"/>
    </xf>
    <xf numFmtId="43" fontId="12" fillId="0" borderId="0" xfId="20" applyFont="1"/>
    <xf numFmtId="0" fontId="9" fillId="0" borderId="0" xfId="18" applyFont="1"/>
    <xf numFmtId="0" fontId="14" fillId="0" borderId="0" xfId="18" applyFont="1"/>
    <xf numFmtId="3" fontId="4" fillId="0" borderId="0" xfId="4" applyNumberFormat="1" applyFont="1"/>
    <xf numFmtId="0" fontId="10" fillId="0" borderId="0" xfId="4" applyFont="1"/>
    <xf numFmtId="3" fontId="10" fillId="0" borderId="0" xfId="4" applyNumberFormat="1" applyFont="1"/>
    <xf numFmtId="173" fontId="6" fillId="0" borderId="0" xfId="0" applyNumberFormat="1" applyFont="1" applyAlignment="1">
      <alignment horizontal="right"/>
    </xf>
    <xf numFmtId="0" fontId="4" fillId="0" borderId="0" xfId="13" applyFont="1" applyAlignment="1">
      <alignment horizontal="center"/>
    </xf>
    <xf numFmtId="0" fontId="4" fillId="0" borderId="0" xfId="13" applyFont="1"/>
    <xf numFmtId="164" fontId="0" fillId="0" borderId="0" xfId="14" applyNumberFormat="1" applyFont="1"/>
    <xf numFmtId="0" fontId="3" fillId="0" borderId="0" xfId="13"/>
    <xf numFmtId="172" fontId="4" fillId="0" borderId="0" xfId="13" applyNumberFormat="1" applyFont="1"/>
    <xf numFmtId="172" fontId="3" fillId="0" borderId="0" xfId="13" applyNumberFormat="1"/>
    <xf numFmtId="0" fontId="9" fillId="0" borderId="0" xfId="13" applyFont="1"/>
    <xf numFmtId="2" fontId="3" fillId="0" borderId="0" xfId="13" applyNumberFormat="1"/>
    <xf numFmtId="0" fontId="3" fillId="0" borderId="0" xfId="13" applyAlignment="1">
      <alignment horizontal="center"/>
    </xf>
    <xf numFmtId="42" fontId="0" fillId="0" borderId="0" xfId="14" applyNumberFormat="1" applyFont="1"/>
    <xf numFmtId="42" fontId="3" fillId="0" borderId="0" xfId="13" applyNumberFormat="1"/>
    <xf numFmtId="0" fontId="3" fillId="0" borderId="0" xfId="13" applyAlignment="1">
      <alignment horizontal="left"/>
    </xf>
    <xf numFmtId="44" fontId="3" fillId="0" borderId="0" xfId="13" applyNumberFormat="1"/>
    <xf numFmtId="0" fontId="7" fillId="0" borderId="0" xfId="13" applyFont="1" applyAlignment="1">
      <alignment horizontal="center"/>
    </xf>
    <xf numFmtId="164" fontId="3" fillId="0" borderId="0" xfId="13" applyNumberFormat="1"/>
    <xf numFmtId="173" fontId="3" fillId="0" borderId="0" xfId="13" applyNumberFormat="1"/>
    <xf numFmtId="0" fontId="9" fillId="0" borderId="0" xfId="18" applyFont="1" applyAlignment="1">
      <alignment horizontal="left"/>
    </xf>
    <xf numFmtId="164" fontId="3" fillId="0" borderId="0" xfId="1" applyNumberFormat="1" applyFont="1" applyFill="1" applyAlignment="1">
      <alignment horizontal="center"/>
    </xf>
    <xf numFmtId="164" fontId="3" fillId="0" borderId="0" xfId="1" quotePrefix="1" applyNumberFormat="1" applyFont="1" applyFill="1" applyAlignment="1">
      <alignment horizontal="center"/>
    </xf>
    <xf numFmtId="173" fontId="3" fillId="0" borderId="0" xfId="12" applyNumberFormat="1" applyFont="1" applyFill="1"/>
    <xf numFmtId="164" fontId="12" fillId="0" borderId="0" xfId="19" applyNumberFormat="1" applyFont="1" applyFill="1"/>
    <xf numFmtId="37" fontId="12" fillId="0" borderId="0" xfId="6" applyNumberFormat="1" applyFont="1"/>
    <xf numFmtId="0" fontId="12" fillId="0" borderId="0" xfId="6" applyFont="1" applyAlignment="1">
      <alignment horizontal="left" wrapText="1"/>
    </xf>
    <xf numFmtId="179" fontId="12" fillId="0" borderId="0" xfId="21" applyNumberFormat="1" applyFont="1" applyFill="1" applyAlignment="1">
      <alignment horizontal="center"/>
    </xf>
    <xf numFmtId="179" fontId="12" fillId="0" borderId="0" xfId="20" applyNumberFormat="1" applyFont="1" applyFill="1" applyAlignment="1">
      <alignment horizontal="center"/>
    </xf>
    <xf numFmtId="179" fontId="12" fillId="2" borderId="0" xfId="21" applyNumberFormat="1" applyFont="1" applyFill="1" applyAlignment="1">
      <alignment horizontal="center"/>
    </xf>
    <xf numFmtId="164" fontId="12" fillId="2" borderId="0" xfId="19" applyNumberFormat="1" applyFont="1" applyFill="1"/>
    <xf numFmtId="37" fontId="12" fillId="2" borderId="0" xfId="6" applyNumberFormat="1" applyFont="1" applyFill="1"/>
    <xf numFmtId="0" fontId="12" fillId="2" borderId="0" xfId="6" applyFont="1" applyFill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4" fontId="4" fillId="0" borderId="8" xfId="1" applyNumberFormat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165" fontId="4" fillId="0" borderId="15" xfId="1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164" fontId="4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4" fillId="0" borderId="17" xfId="0" applyFont="1" applyBorder="1" applyAlignment="1">
      <alignment horizontal="centerContinuous"/>
    </xf>
    <xf numFmtId="164" fontId="0" fillId="0" borderId="19" xfId="1" applyNumberFormat="1" applyFont="1" applyBorder="1"/>
    <xf numFmtId="0" fontId="4" fillId="0" borderId="17" xfId="0" applyFont="1" applyBorder="1" applyAlignment="1">
      <alignment horizontal="center" wrapText="1"/>
    </xf>
    <xf numFmtId="173" fontId="0" fillId="0" borderId="17" xfId="0" quotePrefix="1" applyNumberFormat="1" applyBorder="1" applyAlignment="1">
      <alignment horizontal="right"/>
    </xf>
    <xf numFmtId="173" fontId="0" fillId="0" borderId="17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67" fontId="0" fillId="0" borderId="17" xfId="0" applyNumberFormat="1" applyBorder="1" applyAlignment="1">
      <alignment horizontal="right"/>
    </xf>
    <xf numFmtId="3" fontId="0" fillId="0" borderId="17" xfId="0" applyNumberFormat="1" applyBorder="1"/>
    <xf numFmtId="0" fontId="4" fillId="0" borderId="17" xfId="0" applyFont="1" applyBorder="1" applyAlignment="1">
      <alignment horizontal="left"/>
    </xf>
    <xf numFmtId="0" fontId="4" fillId="0" borderId="17" xfId="13" applyFont="1" applyBorder="1" applyAlignment="1">
      <alignment horizontal="center"/>
    </xf>
    <xf numFmtId="17" fontId="4" fillId="0" borderId="17" xfId="13" quotePrefix="1" applyNumberFormat="1" applyFont="1" applyBorder="1" applyAlignment="1">
      <alignment horizontal="center"/>
    </xf>
    <xf numFmtId="17" fontId="4" fillId="0" borderId="17" xfId="13" applyNumberFormat="1" applyFont="1" applyBorder="1" applyAlignment="1">
      <alignment horizontal="center"/>
    </xf>
    <xf numFmtId="164" fontId="0" fillId="0" borderId="18" xfId="14" applyNumberFormat="1" applyFont="1" applyBorder="1"/>
    <xf numFmtId="42" fontId="0" fillId="0" borderId="18" xfId="14" applyNumberFormat="1" applyFont="1" applyBorder="1"/>
    <xf numFmtId="164" fontId="0" fillId="0" borderId="19" xfId="14" applyNumberFormat="1" applyFont="1" applyBorder="1"/>
    <xf numFmtId="0" fontId="3" fillId="0" borderId="20" xfId="13" applyBorder="1"/>
    <xf numFmtId="164" fontId="0" fillId="0" borderId="20" xfId="14" applyNumberFormat="1" applyFont="1" applyBorder="1"/>
    <xf numFmtId="42" fontId="0" fillId="0" borderId="20" xfId="14" applyNumberFormat="1" applyFont="1" applyBorder="1"/>
    <xf numFmtId="0" fontId="4" fillId="0" borderId="19" xfId="0" applyFont="1" applyBorder="1"/>
    <xf numFmtId="42" fontId="4" fillId="0" borderId="19" xfId="1" applyNumberFormat="1" applyFont="1" applyBorder="1"/>
    <xf numFmtId="44" fontId="4" fillId="0" borderId="17" xfId="1" applyFont="1" applyBorder="1" applyAlignment="1">
      <alignment horizontal="center" wrapText="1"/>
    </xf>
    <xf numFmtId="165" fontId="4" fillId="0" borderId="17" xfId="1" applyNumberFormat="1" applyFont="1" applyBorder="1" applyAlignment="1">
      <alignment horizontal="center" wrapText="1"/>
    </xf>
    <xf numFmtId="17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173" fontId="0" fillId="0" borderId="18" xfId="12" applyNumberFormat="1" applyFont="1" applyBorder="1"/>
    <xf numFmtId="3" fontId="4" fillId="0" borderId="20" xfId="0" applyNumberFormat="1" applyFont="1" applyBorder="1"/>
    <xf numFmtId="3" fontId="0" fillId="0" borderId="20" xfId="0" applyNumberFormat="1" applyBorder="1"/>
    <xf numFmtId="3" fontId="4" fillId="0" borderId="18" xfId="0" applyNumberFormat="1" applyFont="1" applyBorder="1"/>
    <xf numFmtId="0" fontId="4" fillId="0" borderId="18" xfId="0" applyFont="1" applyBorder="1" applyAlignment="1">
      <alignment horizontal="left"/>
    </xf>
    <xf numFmtId="0" fontId="0" fillId="0" borderId="20" xfId="0" applyBorder="1"/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/>
    <xf numFmtId="0" fontId="9" fillId="0" borderId="17" xfId="6" applyFont="1" applyBorder="1" applyAlignment="1">
      <alignment horizontal="center"/>
    </xf>
    <xf numFmtId="164" fontId="12" fillId="0" borderId="17" xfId="19" applyNumberFormat="1" applyFont="1" applyFill="1" applyBorder="1"/>
    <xf numFmtId="164" fontId="12" fillId="0" borderId="19" xfId="19" applyNumberFormat="1" applyFont="1" applyBorder="1"/>
    <xf numFmtId="0" fontId="9" fillId="0" borderId="17" xfId="20" applyNumberFormat="1" applyFont="1" applyBorder="1" applyAlignment="1">
      <alignment horizontal="center"/>
    </xf>
    <xf numFmtId="164" fontId="12" fillId="0" borderId="20" xfId="19" applyNumberFormat="1" applyFont="1" applyBorder="1" applyAlignment="1">
      <alignment horizontal="center"/>
    </xf>
    <xf numFmtId="164" fontId="12" fillId="0" borderId="19" xfId="19" applyNumberFormat="1" applyFont="1" applyBorder="1" applyAlignment="1">
      <alignment horizontal="center"/>
    </xf>
    <xf numFmtId="179" fontId="12" fillId="0" borderId="17" xfId="6" applyNumberFormat="1" applyFont="1" applyBorder="1" applyAlignment="1">
      <alignment horizontal="center"/>
    </xf>
    <xf numFmtId="164" fontId="12" fillId="2" borderId="17" xfId="19" applyNumberFormat="1" applyFont="1" applyFill="1" applyBorder="1"/>
    <xf numFmtId="0" fontId="0" fillId="0" borderId="23" xfId="0" applyBorder="1"/>
    <xf numFmtId="0" fontId="0" fillId="0" borderId="24" xfId="0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7" fontId="0" fillId="0" borderId="24" xfId="0" applyNumberFormat="1" applyBorder="1"/>
    <xf numFmtId="165" fontId="0" fillId="0" borderId="20" xfId="1" applyNumberFormat="1" applyFont="1" applyBorder="1"/>
    <xf numFmtId="165" fontId="0" fillId="0" borderId="26" xfId="1" applyNumberFormat="1" applyFont="1" applyFill="1" applyBorder="1"/>
    <xf numFmtId="170" fontId="0" fillId="0" borderId="24" xfId="2" applyNumberFormat="1" applyFont="1" applyBorder="1"/>
    <xf numFmtId="170" fontId="0" fillId="0" borderId="26" xfId="2" applyNumberFormat="1" applyFont="1" applyBorder="1"/>
    <xf numFmtId="0" fontId="0" fillId="0" borderId="6" xfId="0" applyBorder="1"/>
    <xf numFmtId="170" fontId="0" fillId="0" borderId="6" xfId="2" applyNumberFormat="1" applyFont="1" applyBorder="1"/>
    <xf numFmtId="170" fontId="0" fillId="0" borderId="7" xfId="2" applyNumberFormat="1" applyFont="1" applyBorder="1"/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16" xfId="0" applyFont="1" applyBorder="1" applyAlignment="1">
      <alignment horizontal="center"/>
    </xf>
    <xf numFmtId="0" fontId="9" fillId="0" borderId="0" xfId="13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9" fillId="0" borderId="21" xfId="6" applyFont="1" applyBorder="1" applyAlignment="1">
      <alignment horizontal="center"/>
    </xf>
    <xf numFmtId="0" fontId="9" fillId="0" borderId="18" xfId="6" applyFont="1" applyBorder="1" applyAlignment="1">
      <alignment horizontal="center"/>
    </xf>
    <xf numFmtId="0" fontId="9" fillId="0" borderId="22" xfId="6" applyFont="1" applyBorder="1" applyAlignment="1">
      <alignment horizontal="center"/>
    </xf>
    <xf numFmtId="0" fontId="9" fillId="0" borderId="0" xfId="18" applyFont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79">
    <cellStyle name="AF Column - IBM Cognos" xfId="23" xr:uid="{25B431A7-590B-4884-BB0C-073BD3FB4DDB}"/>
    <cellStyle name="AF Data - IBM Cognos" xfId="24" xr:uid="{C22397BD-09CB-488F-BA9C-2732F7203A1A}"/>
    <cellStyle name="AF Data 0 - IBM Cognos" xfId="25" xr:uid="{9AB5145C-0765-41AC-B107-EB36A06233D5}"/>
    <cellStyle name="AF Data 1 - IBM Cognos" xfId="26" xr:uid="{D1B8F650-A139-48CB-9B73-F34396E6F369}"/>
    <cellStyle name="AF Data 2 - IBM Cognos" xfId="27" xr:uid="{4291BFB6-6AF9-4594-9AC0-87D5712B71B6}"/>
    <cellStyle name="AF Data 3 - IBM Cognos" xfId="28" xr:uid="{42D0E73D-D130-4DEE-9CD2-510DD8267DA1}"/>
    <cellStyle name="AF Data 4 - IBM Cognos" xfId="29" xr:uid="{0AF280B8-8F7C-4C92-AEBC-17DBC393E036}"/>
    <cellStyle name="AF Data 5 - IBM Cognos" xfId="30" xr:uid="{698D5EBA-8599-44B7-9507-C4BB52DBC5A6}"/>
    <cellStyle name="AF Data Leaf - IBM Cognos" xfId="31" xr:uid="{8CA0FE9C-A22F-4209-9080-98AC10351EB5}"/>
    <cellStyle name="AF Header - IBM Cognos" xfId="32" xr:uid="{D665A3E3-C8AC-4919-AC2A-CD609B230FA5}"/>
    <cellStyle name="AF Header 0 - IBM Cognos" xfId="33" xr:uid="{D274CC4A-1632-4782-9559-FA81722B1E63}"/>
    <cellStyle name="AF Header 1 - IBM Cognos" xfId="34" xr:uid="{85F254E4-A6C6-456E-915C-1A7213B8BDB2}"/>
    <cellStyle name="AF Header 2 - IBM Cognos" xfId="35" xr:uid="{5DE31DB4-F5B8-48B5-A53C-791493B04382}"/>
    <cellStyle name="AF Header 3 - IBM Cognos" xfId="36" xr:uid="{A4AB8074-8C84-42CB-BBCD-DB85EB824921}"/>
    <cellStyle name="AF Header 4 - IBM Cognos" xfId="37" xr:uid="{9747EC87-AA9D-42ED-901A-F9466FB52C4F}"/>
    <cellStyle name="AF Header 5 - IBM Cognos" xfId="38" xr:uid="{8AF6CF98-B2D1-436D-8AD0-2FF08175D1C5}"/>
    <cellStyle name="AF Header Leaf - IBM Cognos" xfId="39" xr:uid="{90A0C774-BE64-4EBA-964A-952B568EA8B6}"/>
    <cellStyle name="AF Row - IBM Cognos" xfId="40" xr:uid="{53733B95-B2F4-427A-81B6-D979C18BD75B}"/>
    <cellStyle name="AF Row 0 - IBM Cognos" xfId="41" xr:uid="{A2418E41-CB20-44D2-93DB-41A472181CF0}"/>
    <cellStyle name="AF Row 1 - IBM Cognos" xfId="42" xr:uid="{C01040B6-26A7-46C6-8E93-E5C6AD246E54}"/>
    <cellStyle name="AF Row 2 - IBM Cognos" xfId="43" xr:uid="{00E351F9-1C70-4D94-8006-80BA8CDC17BA}"/>
    <cellStyle name="AF Row 3 - IBM Cognos" xfId="44" xr:uid="{F5E61153-E97F-4B65-B8BE-C36B1D397F0B}"/>
    <cellStyle name="AF Row 4 - IBM Cognos" xfId="45" xr:uid="{E16A967A-7D8D-4447-9E71-ECBEF17B1CC6}"/>
    <cellStyle name="AF Row 5 - IBM Cognos" xfId="46" xr:uid="{6F085002-D9AD-4B96-907E-9EDB14799D1B}"/>
    <cellStyle name="AF Row Leaf - IBM Cognos" xfId="47" xr:uid="{EAF4DB15-E8C8-42FC-B5D7-6AA51CDEF7D8}"/>
    <cellStyle name="AF Subnm - IBM Cognos" xfId="48" xr:uid="{C7D38F6D-77F7-49AC-8EF5-476A7489F550}"/>
    <cellStyle name="AF Title - IBM Cognos" xfId="49" xr:uid="{F0079A5A-675C-4E56-9317-FEF6A6710FE4}"/>
    <cellStyle name="CAFE Subnm Parameter" xfId="50" xr:uid="{F8E3F863-CBD8-4F99-AC7F-F39F2682743E}"/>
    <cellStyle name="Calculated Column - IBM Cognos" xfId="51" xr:uid="{9819C234-004E-40C2-B0A4-C0CA5A500452}"/>
    <cellStyle name="Calculated Column Name - IBM Cognos" xfId="52" xr:uid="{E0FC13E0-7BC6-415A-98B6-47F0345520E2}"/>
    <cellStyle name="Calculated Row - IBM Cognos" xfId="53" xr:uid="{AB49FAAF-0020-47D7-A947-F5FF057D7C69}"/>
    <cellStyle name="Calculated Row Name - IBM Cognos" xfId="54" xr:uid="{69DC5750-962B-4692-A16C-63D7B67FB601}"/>
    <cellStyle name="Column Name - IBM Cognos" xfId="55" xr:uid="{F54074B5-ADC5-4D55-BDBC-2AE732DF4F5E}"/>
    <cellStyle name="Column Template - IBM Cognos" xfId="56" xr:uid="{59F05F17-ABD2-4136-A5E1-C48A8F67EB2B}"/>
    <cellStyle name="Comma" xfId="12" builtinId="3"/>
    <cellStyle name="Comma [0] 2" xfId="10" xr:uid="{676C8CF2-DBFC-415C-B3B5-327604CE7E7C}"/>
    <cellStyle name="Comma 19 2" xfId="17" xr:uid="{373B3A73-91C6-43B3-B0FF-971B24771B51}"/>
    <cellStyle name="Comma 2" xfId="3" xr:uid="{CE3CBBDC-D9CB-45D8-A474-93EE0DA8F34D}"/>
    <cellStyle name="Comma 2 2" xfId="20" xr:uid="{D2DD786A-09CA-462A-A75B-222A298496F7}"/>
    <cellStyle name="Comma 3" xfId="7" xr:uid="{A3C903CC-3F23-4993-A102-C465D7B6FEBF}"/>
    <cellStyle name="Comma 4" xfId="22" xr:uid="{E67EBFB8-D7BC-4561-9F22-798E8BAD613D}"/>
    <cellStyle name="Currency" xfId="1" builtinId="4"/>
    <cellStyle name="Currency 10" xfId="14" xr:uid="{F63B0ECF-762D-406C-8D98-3B071E539D08}"/>
    <cellStyle name="Currency 11 3" xfId="16" xr:uid="{95E71648-C959-4BA4-B3A4-357B3F060E70}"/>
    <cellStyle name="Currency 2" xfId="9" xr:uid="{D36EFDE0-DD17-468B-9DAD-B95F61A8F3B2}"/>
    <cellStyle name="Currency 2 2" xfId="11" xr:uid="{1A00CD1B-D90B-475E-90FE-26E3D8DE2255}"/>
    <cellStyle name="Currency 3" xfId="19" xr:uid="{3400BAC1-1D3C-4181-9EA2-0FD6D9DED028}"/>
    <cellStyle name="Differs From Base - IBM Cognos" xfId="57" xr:uid="{1DD4DE51-EEDE-494C-8AE3-9BA710027E43}"/>
    <cellStyle name="Edit - IBM Cognos" xfId="58" xr:uid="{C4B792E5-2A2F-420C-B2B4-1F89899ECE1A}"/>
    <cellStyle name="Formula - IBM Cognos" xfId="59" xr:uid="{37E8070E-63A6-4972-9165-74504DBA1F6D}"/>
    <cellStyle name="Group Name - IBM Cognos" xfId="60" xr:uid="{B39A2928-665B-4B8A-AEB6-CEEBB747CFB3}"/>
    <cellStyle name="Hold Values - IBM Cognos" xfId="61" xr:uid="{AAEAC2D0-9F81-4391-8E44-935D8F356155}"/>
    <cellStyle name="List Name - IBM Cognos" xfId="62" xr:uid="{964B56C2-A05A-401E-AC4B-7B95006343B3}"/>
    <cellStyle name="Locked - IBM Cognos" xfId="63" xr:uid="{6104353C-798B-4887-8347-309A96945B83}"/>
    <cellStyle name="Measure - IBM Cognos" xfId="64" xr:uid="{2A75B24D-9654-4E91-8F27-A446AE1C411D}"/>
    <cellStyle name="Measure Header - IBM Cognos" xfId="65" xr:uid="{275CB161-5BAD-40C8-BA44-A84A18E2EAB1}"/>
    <cellStyle name="Measure Name - IBM Cognos" xfId="66" xr:uid="{5A51D46A-DF6E-4097-AF3F-180BB29C8200}"/>
    <cellStyle name="Measure Summary - IBM Cognos" xfId="67" xr:uid="{2EFACA6B-3201-4740-BC23-D66A47A02CE2}"/>
    <cellStyle name="Measure Summary TM1 - IBM Cognos" xfId="68" xr:uid="{2892DF1F-6A88-4FFF-A786-0B4740A7B80E}"/>
    <cellStyle name="Measure Template - IBM Cognos" xfId="69" xr:uid="{EDDBA7C0-F0F9-4BD1-8968-1245D7BA7C29}"/>
    <cellStyle name="More - IBM Cognos" xfId="70" xr:uid="{6787448C-C995-49C7-910F-BB07CC282555}"/>
    <cellStyle name="Normal" xfId="0" builtinId="0" customBuiltin="1"/>
    <cellStyle name="Normal 100" xfId="13" xr:uid="{232F0DF3-C8C0-484F-9D3B-4BFBB43EA33B}"/>
    <cellStyle name="Normal 104" xfId="15" xr:uid="{04DB0962-50E8-4C7F-9E53-4CD75E02D1A5}"/>
    <cellStyle name="Normal 2" xfId="4" xr:uid="{10118EB3-59D7-414A-A7E3-8FE769551388}"/>
    <cellStyle name="Normal 2 2" xfId="6" xr:uid="{E1C4CCBA-23D6-4F14-94A1-721BA068BF4C}"/>
    <cellStyle name="Normal 3" xfId="18" xr:uid="{ED84D9F9-5A33-4A70-B71B-EFBC140A9D81}"/>
    <cellStyle name="Normal 4 2" xfId="5" xr:uid="{A6859BDF-0013-4214-81D6-4AC0A8A5ACFC}"/>
    <cellStyle name="Pending Change - IBM Cognos" xfId="71" xr:uid="{CF0B6076-8044-4FF8-B83B-F22F6EF4D50A}"/>
    <cellStyle name="Percent" xfId="2" builtinId="5"/>
    <cellStyle name="Percent 2" xfId="8" xr:uid="{A3DDB2D9-FB88-4371-9EAD-B6ED292EE8EA}"/>
    <cellStyle name="Percent 2 2" xfId="21" xr:uid="{6C8BE2DB-386D-4299-8597-80B55394F0BE}"/>
    <cellStyle name="Row Name - IBM Cognos" xfId="72" xr:uid="{4A787F79-6CAD-4324-B5F9-B888537A9002}"/>
    <cellStyle name="Row Template - IBM Cognos" xfId="73" xr:uid="{830DE466-5E59-40F5-B41E-E8DD6484146F}"/>
    <cellStyle name="Summary Column Name - IBM Cognos" xfId="74" xr:uid="{B47171B6-EF9D-4191-B0FE-29133BA1A5CD}"/>
    <cellStyle name="Summary Column Name TM1 - IBM Cognos" xfId="75" xr:uid="{2CAE61D2-6C8C-4876-955C-7A769F1D6CE5}"/>
    <cellStyle name="Summary Row Name - IBM Cognos" xfId="76" xr:uid="{3938D569-0A9F-4A59-8CB9-5D558390E48D}"/>
    <cellStyle name="Summary Row Name TM1 - IBM Cognos" xfId="77" xr:uid="{C01D4078-FE20-4894-AE87-9196B6F793C6}"/>
    <cellStyle name="Unsaved Change - IBM Cognos" xfId="78" xr:uid="{ECD4E75D-B029-41C1-9976-4FD512C49A7A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2DDF-E0AB-4FB3-92DA-EA2E9ACFB6BB}">
  <sheetPr transitionEvaluation="1">
    <pageSetUpPr fitToPage="1"/>
  </sheetPr>
  <dimension ref="A1:Q43"/>
  <sheetViews>
    <sheetView view="pageBreakPreview" topLeftCell="A6" zoomScale="75" zoomScaleNormal="75" zoomScaleSheetLayoutView="75" workbookViewId="0">
      <selection activeCell="C21" sqref="C21"/>
    </sheetView>
  </sheetViews>
  <sheetFormatPr defaultColWidth="9.77734375" defaultRowHeight="15" x14ac:dyDescent="0.2"/>
  <cols>
    <col min="1" max="1" width="4.77734375" customWidth="1"/>
    <col min="2" max="2" width="51" customWidth="1"/>
    <col min="3" max="3" width="15.77734375" style="3" customWidth="1"/>
    <col min="4" max="7" width="15.77734375" style="4" customWidth="1"/>
    <col min="8" max="8" width="15.77734375" style="5" customWidth="1"/>
    <col min="9" max="9" width="3.5546875" customWidth="1"/>
    <col min="10" max="10" width="88.88671875" customWidth="1"/>
    <col min="11" max="11" width="14.77734375" customWidth="1"/>
    <col min="12" max="13" width="12.44140625" customWidth="1"/>
    <col min="14" max="14" width="11.44140625" customWidth="1"/>
    <col min="15" max="15" width="10.44140625" customWidth="1"/>
    <col min="17" max="17" width="10.88671875" customWidth="1"/>
  </cols>
  <sheetData>
    <row r="1" spans="1:16" x14ac:dyDescent="0.2">
      <c r="A1" s="141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ht="18" customHeight="1" x14ac:dyDescent="0.2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B7" s="1"/>
      <c r="C7" s="6"/>
      <c r="D7" s="7"/>
      <c r="E7" s="7"/>
      <c r="F7" s="7"/>
      <c r="G7" s="7"/>
      <c r="H7" s="8"/>
      <c r="I7" s="1"/>
      <c r="J7" s="1"/>
      <c r="K7" s="1"/>
    </row>
    <row r="8" spans="1:16" ht="15.75" x14ac:dyDescent="0.25">
      <c r="B8" s="1"/>
      <c r="C8" s="6"/>
      <c r="D8" s="7"/>
      <c r="E8" s="7"/>
      <c r="F8" s="7"/>
      <c r="G8" s="7"/>
      <c r="H8" s="8"/>
      <c r="I8" s="1"/>
      <c r="J8" s="1"/>
    </row>
    <row r="9" spans="1:16" ht="15.75" x14ac:dyDescent="0.25">
      <c r="C9" s="9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1" t="s">
        <v>11</v>
      </c>
      <c r="I9" s="12"/>
      <c r="J9" s="12"/>
      <c r="K9" s="12"/>
      <c r="L9" s="12"/>
    </row>
    <row r="10" spans="1:16" ht="15.75" x14ac:dyDescent="0.25">
      <c r="C10" s="9"/>
      <c r="D10" s="10"/>
      <c r="E10" s="13" t="s">
        <v>12</v>
      </c>
      <c r="F10" s="13" t="s">
        <v>13</v>
      </c>
      <c r="G10" s="13" t="s">
        <v>14</v>
      </c>
      <c r="H10" s="14" t="s">
        <v>15</v>
      </c>
      <c r="I10" s="15"/>
      <c r="J10" s="12"/>
      <c r="K10" s="12"/>
      <c r="L10" s="12"/>
    </row>
    <row r="11" spans="1:16" ht="15.75" x14ac:dyDescent="0.25">
      <c r="C11" s="9"/>
      <c r="D11" s="10"/>
      <c r="E11" s="10"/>
      <c r="F11" s="10"/>
      <c r="G11" s="10"/>
      <c r="H11" s="11"/>
      <c r="I11" s="12"/>
      <c r="J11" s="12"/>
      <c r="K11" s="12"/>
      <c r="L11" s="12"/>
    </row>
    <row r="12" spans="1:16" ht="15.75" x14ac:dyDescent="0.25">
      <c r="A12" s="12"/>
      <c r="B12" s="1"/>
      <c r="C12" s="9"/>
      <c r="D12" s="248" t="s">
        <v>16</v>
      </c>
      <c r="E12" s="248"/>
      <c r="F12" s="248"/>
      <c r="G12" s="248"/>
      <c r="H12" s="248"/>
      <c r="I12" s="12"/>
      <c r="J12" s="12"/>
    </row>
    <row r="13" spans="1:16" ht="15.75" x14ac:dyDescent="0.25">
      <c r="A13" s="12"/>
      <c r="B13" s="1"/>
      <c r="C13" s="9"/>
      <c r="D13" s="16" t="s">
        <v>17</v>
      </c>
      <c r="E13" s="10" t="s">
        <v>18</v>
      </c>
      <c r="F13" s="10" t="s">
        <v>19</v>
      </c>
      <c r="G13" s="10" t="s">
        <v>20</v>
      </c>
      <c r="H13" s="11" t="s">
        <v>21</v>
      </c>
      <c r="I13" s="12"/>
      <c r="J13" s="12"/>
    </row>
    <row r="14" spans="1:16" ht="15.75" x14ac:dyDescent="0.25">
      <c r="A14" s="176" t="s">
        <v>22</v>
      </c>
      <c r="B14" s="177"/>
      <c r="C14" s="178" t="s">
        <v>23</v>
      </c>
      <c r="D14" s="179" t="s">
        <v>24</v>
      </c>
      <c r="E14" s="179" t="s">
        <v>25</v>
      </c>
      <c r="F14" s="179" t="s">
        <v>26</v>
      </c>
      <c r="G14" s="179" t="s">
        <v>27</v>
      </c>
      <c r="H14" s="180" t="s">
        <v>28</v>
      </c>
      <c r="I14" s="176"/>
      <c r="J14" s="176" t="s">
        <v>29</v>
      </c>
    </row>
    <row r="15" spans="1:16" x14ac:dyDescent="0.2">
      <c r="A15" s="17"/>
      <c r="C15" s="18"/>
      <c r="D15" s="19"/>
      <c r="H15" s="20"/>
      <c r="I15" s="17"/>
      <c r="J15" s="21"/>
    </row>
    <row r="16" spans="1:16" ht="15.75" x14ac:dyDescent="0.25">
      <c r="A16" s="17">
        <v>1</v>
      </c>
      <c r="B16" s="1" t="s">
        <v>30</v>
      </c>
      <c r="C16" s="18"/>
      <c r="D16" s="19"/>
      <c r="J16" s="21"/>
    </row>
    <row r="17" spans="1:17" x14ac:dyDescent="0.2">
      <c r="A17" s="17">
        <v>2</v>
      </c>
      <c r="B17" t="s">
        <v>31</v>
      </c>
      <c r="C17" s="164">
        <f>'WS 5 - Sched, Sys Control, Disp'!C23</f>
        <v>205388.69540032771</v>
      </c>
      <c r="J17" s="21" t="s">
        <v>32</v>
      </c>
      <c r="M17" s="4"/>
      <c r="N17" s="4"/>
      <c r="O17" s="4"/>
      <c r="P17" s="4"/>
      <c r="Q17" s="5"/>
    </row>
    <row r="18" spans="1:17" x14ac:dyDescent="0.2">
      <c r="A18" s="17">
        <v>3</v>
      </c>
      <c r="B18" t="s">
        <v>30</v>
      </c>
      <c r="C18" s="101"/>
      <c r="D18" s="22">
        <f>+C17/'WS 4  - Peak Loads'!H30</f>
        <v>819.09748913390911</v>
      </c>
      <c r="E18" s="19">
        <f>+D18/12</f>
        <v>68.25812409449243</v>
      </c>
      <c r="F18" s="19">
        <f>+D18/52</f>
        <v>15.751874791036714</v>
      </c>
      <c r="G18" s="19">
        <f>+D18/365</f>
        <v>2.2441027099559152</v>
      </c>
      <c r="H18" s="20">
        <f>+D18/8760</f>
        <v>9.3504279581496472E-2</v>
      </c>
      <c r="I18" s="23"/>
      <c r="J18" s="21" t="s">
        <v>33</v>
      </c>
      <c r="L18" s="18"/>
      <c r="M18" s="22"/>
      <c r="N18" s="19"/>
      <c r="O18" s="19"/>
      <c r="P18" s="19"/>
      <c r="Q18" s="20"/>
    </row>
    <row r="19" spans="1:17" x14ac:dyDescent="0.2">
      <c r="A19" s="17">
        <v>4</v>
      </c>
      <c r="C19" s="101"/>
      <c r="D19" s="19"/>
      <c r="E19" s="19"/>
      <c r="F19" s="19"/>
      <c r="G19" s="19"/>
      <c r="H19" s="20"/>
      <c r="I19" s="23"/>
      <c r="J19" s="110"/>
      <c r="L19" s="18"/>
      <c r="M19" s="19"/>
      <c r="N19" s="19"/>
      <c r="O19" s="19"/>
      <c r="P19" s="19"/>
      <c r="Q19" s="20"/>
    </row>
    <row r="20" spans="1:17" ht="15.75" x14ac:dyDescent="0.25">
      <c r="A20" s="17">
        <v>5</v>
      </c>
      <c r="B20" s="1" t="s">
        <v>34</v>
      </c>
      <c r="C20" s="101"/>
      <c r="D20" s="19"/>
      <c r="E20" s="19"/>
      <c r="F20" s="19"/>
      <c r="G20" s="19"/>
      <c r="H20" s="20"/>
      <c r="I20" s="23"/>
      <c r="J20" s="21"/>
      <c r="M20" s="19"/>
      <c r="N20" s="19"/>
      <c r="O20" s="19"/>
      <c r="P20" s="19"/>
      <c r="Q20" s="20"/>
    </row>
    <row r="21" spans="1:17" x14ac:dyDescent="0.2">
      <c r="A21" s="17">
        <v>6</v>
      </c>
      <c r="B21" t="s">
        <v>35</v>
      </c>
      <c r="C21" s="165">
        <f>'WS 3 - Retail Charges'!C21-4167226</f>
        <v>25671727.21787858</v>
      </c>
      <c r="D21" s="19"/>
      <c r="E21" s="19"/>
      <c r="F21" s="19"/>
      <c r="G21" s="19"/>
      <c r="H21" s="20"/>
      <c r="I21" s="23"/>
      <c r="J21" s="21" t="s">
        <v>36</v>
      </c>
      <c r="K21" s="45"/>
      <c r="L21" s="24"/>
      <c r="M21" s="19"/>
      <c r="N21" s="19"/>
      <c r="O21" s="19"/>
      <c r="P21" s="19"/>
      <c r="Q21" s="20"/>
    </row>
    <row r="22" spans="1:17" x14ac:dyDescent="0.2">
      <c r="A22" s="17">
        <v>7</v>
      </c>
      <c r="B22" t="s">
        <v>37</v>
      </c>
      <c r="C22" s="108"/>
      <c r="D22" s="22">
        <f>+C21/'WS 4  - Peak Loads'!H30</f>
        <v>102379.76956282584</v>
      </c>
      <c r="E22" s="19">
        <f>+D22/12</f>
        <v>8531.6474635688191</v>
      </c>
      <c r="F22" s="19">
        <f>+D22/52</f>
        <v>1968.8417223620354</v>
      </c>
      <c r="G22" s="19">
        <f>+D22/365</f>
        <v>280.49251935020777</v>
      </c>
      <c r="H22" s="20">
        <f>+D22/8760</f>
        <v>11.687188306258657</v>
      </c>
      <c r="I22" s="23"/>
      <c r="J22" s="21" t="s">
        <v>38</v>
      </c>
      <c r="L22" s="24"/>
      <c r="M22" s="22"/>
      <c r="N22" s="19"/>
      <c r="O22" s="19"/>
      <c r="P22" s="19"/>
      <c r="Q22" s="20"/>
    </row>
    <row r="23" spans="1:17" x14ac:dyDescent="0.2">
      <c r="A23" s="17">
        <v>8</v>
      </c>
      <c r="B23" s="25" t="s">
        <v>39</v>
      </c>
      <c r="C23" s="101"/>
      <c r="D23" s="19"/>
      <c r="E23" s="19"/>
      <c r="F23" s="19"/>
      <c r="G23" s="19"/>
      <c r="H23" s="20"/>
      <c r="I23" s="23"/>
      <c r="J23" s="21"/>
      <c r="L23" s="18"/>
      <c r="M23" s="19"/>
      <c r="N23" s="19"/>
      <c r="O23" s="19"/>
      <c r="P23" s="19"/>
      <c r="Q23" s="20"/>
    </row>
    <row r="24" spans="1:17" x14ac:dyDescent="0.2">
      <c r="A24" s="17">
        <v>9</v>
      </c>
      <c r="B24" s="25" t="s">
        <v>40</v>
      </c>
      <c r="C24" s="101"/>
      <c r="D24" s="19"/>
      <c r="E24" s="19"/>
      <c r="F24" s="19"/>
      <c r="G24" s="19"/>
      <c r="H24" s="20"/>
      <c r="I24" s="23"/>
      <c r="J24" s="21"/>
      <c r="L24" s="18"/>
      <c r="M24" s="19"/>
      <c r="N24" s="19"/>
      <c r="O24" s="19"/>
      <c r="P24" s="19"/>
      <c r="Q24" s="20"/>
    </row>
    <row r="25" spans="1:17" x14ac:dyDescent="0.2">
      <c r="A25" s="17">
        <v>10</v>
      </c>
      <c r="B25" s="25" t="s">
        <v>41</v>
      </c>
      <c r="C25" s="101"/>
      <c r="D25" s="19"/>
      <c r="E25" s="19"/>
      <c r="F25" s="19"/>
      <c r="G25" s="19"/>
      <c r="H25" s="20"/>
      <c r="I25" s="23"/>
      <c r="J25" s="21"/>
      <c r="L25" s="18"/>
      <c r="M25" s="19"/>
      <c r="N25" s="19"/>
      <c r="O25" s="19"/>
      <c r="P25" s="19"/>
      <c r="Q25" s="20"/>
    </row>
    <row r="26" spans="1:17" x14ac:dyDescent="0.2">
      <c r="A26" s="17">
        <v>11</v>
      </c>
      <c r="B26" s="25" t="s">
        <v>42</v>
      </c>
      <c r="C26" s="100"/>
      <c r="J26" s="21"/>
      <c r="L26" s="3"/>
      <c r="M26" s="30"/>
      <c r="N26" s="4"/>
      <c r="O26" s="4"/>
      <c r="P26" s="4"/>
      <c r="Q26" s="5"/>
    </row>
    <row r="27" spans="1:17" x14ac:dyDescent="0.2">
      <c r="A27" s="17">
        <v>12</v>
      </c>
      <c r="C27" s="101"/>
      <c r="D27" s="19"/>
      <c r="E27" s="19"/>
      <c r="F27" s="19"/>
      <c r="G27" s="19"/>
      <c r="H27" s="20"/>
      <c r="I27" s="26"/>
      <c r="J27" s="21"/>
      <c r="L27" s="18"/>
      <c r="M27" s="30"/>
      <c r="N27" s="19"/>
      <c r="O27" s="19"/>
      <c r="P27" s="19"/>
      <c r="Q27" s="20"/>
    </row>
    <row r="28" spans="1:17" ht="15.75" x14ac:dyDescent="0.25">
      <c r="A28" s="17">
        <v>13</v>
      </c>
      <c r="B28" s="1" t="s">
        <v>43</v>
      </c>
      <c r="C28" s="101"/>
      <c r="D28" s="19"/>
      <c r="E28" s="30"/>
      <c r="F28" s="19"/>
      <c r="G28" s="19"/>
      <c r="H28" s="20"/>
      <c r="I28" s="23"/>
      <c r="J28" s="21"/>
      <c r="L28" s="18"/>
      <c r="M28" s="30"/>
      <c r="N28" s="19"/>
      <c r="O28" s="19"/>
      <c r="P28" s="19"/>
      <c r="Q28" s="20"/>
    </row>
    <row r="29" spans="1:17" x14ac:dyDescent="0.2">
      <c r="A29" s="17">
        <v>14</v>
      </c>
      <c r="B29" t="s">
        <v>44</v>
      </c>
      <c r="C29" s="108">
        <v>0</v>
      </c>
      <c r="D29" s="19"/>
      <c r="E29" s="19"/>
      <c r="F29" s="19"/>
      <c r="G29" s="19"/>
      <c r="H29" s="20"/>
      <c r="I29" s="23"/>
      <c r="J29" s="27" t="s">
        <v>45</v>
      </c>
      <c r="L29" s="24"/>
      <c r="M29" s="30"/>
      <c r="N29" s="19"/>
      <c r="O29" s="19"/>
      <c r="P29" s="19"/>
      <c r="Q29" s="20"/>
    </row>
    <row r="30" spans="1:17" x14ac:dyDescent="0.2">
      <c r="A30" s="17">
        <v>15</v>
      </c>
      <c r="B30" t="s">
        <v>37</v>
      </c>
      <c r="C30" s="108"/>
      <c r="D30" s="22">
        <f>+C29/'WS 4  - Peak Loads'!F30</f>
        <v>0</v>
      </c>
      <c r="E30" s="19">
        <f>+D30/12</f>
        <v>0</v>
      </c>
      <c r="F30" s="19">
        <f>+D30/52</f>
        <v>0</v>
      </c>
      <c r="G30" s="19">
        <f>+D30/365</f>
        <v>0</v>
      </c>
      <c r="H30" s="20">
        <f>+D30/8760</f>
        <v>0</v>
      </c>
      <c r="I30" s="23"/>
      <c r="J30" s="21" t="s">
        <v>46</v>
      </c>
      <c r="L30" s="24"/>
      <c r="M30" s="22"/>
      <c r="N30" s="19"/>
      <c r="O30" s="19"/>
      <c r="P30" s="19"/>
      <c r="Q30" s="20"/>
    </row>
    <row r="31" spans="1:17" x14ac:dyDescent="0.2">
      <c r="A31" s="17">
        <v>16</v>
      </c>
      <c r="B31" s="25" t="s">
        <v>39</v>
      </c>
      <c r="C31" s="101"/>
      <c r="D31" s="19"/>
      <c r="E31" s="19"/>
      <c r="F31" s="19"/>
      <c r="G31" s="19"/>
      <c r="H31" s="20"/>
      <c r="I31" s="23"/>
      <c r="J31" s="21"/>
      <c r="L31" s="18"/>
      <c r="M31" s="19"/>
      <c r="N31" s="19"/>
      <c r="O31" s="19"/>
      <c r="P31" s="19"/>
      <c r="Q31" s="20"/>
    </row>
    <row r="32" spans="1:17" x14ac:dyDescent="0.2">
      <c r="A32" s="17">
        <v>17</v>
      </c>
      <c r="B32" s="25" t="s">
        <v>40</v>
      </c>
      <c r="C32" s="101"/>
      <c r="D32" s="19"/>
      <c r="E32" s="19"/>
      <c r="F32" s="19"/>
      <c r="G32" s="19"/>
      <c r="H32" s="20"/>
      <c r="I32" s="23"/>
      <c r="J32" s="21"/>
      <c r="L32" s="18"/>
      <c r="M32" s="19"/>
      <c r="N32" s="19"/>
      <c r="O32" s="19"/>
      <c r="P32" s="19"/>
      <c r="Q32" s="20"/>
    </row>
    <row r="33" spans="1:17" x14ac:dyDescent="0.2">
      <c r="A33" s="17">
        <v>18</v>
      </c>
      <c r="B33" s="25" t="s">
        <v>41</v>
      </c>
      <c r="C33" s="101"/>
      <c r="D33" s="19"/>
      <c r="E33" s="19"/>
      <c r="F33" s="19"/>
      <c r="G33" s="19"/>
      <c r="H33" s="20"/>
      <c r="I33" s="23"/>
      <c r="J33" s="21"/>
      <c r="L33" s="18"/>
      <c r="M33" s="19"/>
      <c r="N33" s="19"/>
      <c r="O33" s="19"/>
      <c r="P33" s="19"/>
      <c r="Q33" s="20"/>
    </row>
    <row r="34" spans="1:17" x14ac:dyDescent="0.2">
      <c r="A34" s="17">
        <v>19</v>
      </c>
      <c r="B34" s="25" t="s">
        <v>42</v>
      </c>
      <c r="C34" s="101"/>
      <c r="D34" s="19"/>
      <c r="E34" s="19"/>
      <c r="F34" s="19"/>
      <c r="G34" s="19"/>
      <c r="H34" s="20"/>
      <c r="I34" s="23"/>
      <c r="J34" s="21"/>
      <c r="L34" s="18"/>
      <c r="M34" s="19"/>
      <c r="N34" s="19"/>
      <c r="O34" s="19"/>
      <c r="P34" s="19"/>
      <c r="Q34" s="20"/>
    </row>
    <row r="35" spans="1:17" x14ac:dyDescent="0.2">
      <c r="A35" s="17">
        <v>20</v>
      </c>
      <c r="C35" s="100"/>
      <c r="D35" s="19"/>
      <c r="E35" s="19"/>
      <c r="F35" s="19"/>
      <c r="G35" s="19"/>
      <c r="H35" s="20"/>
      <c r="I35" s="26"/>
      <c r="J35" s="21"/>
      <c r="L35" s="3"/>
      <c r="M35" s="19"/>
      <c r="N35" s="19"/>
      <c r="O35" s="19"/>
      <c r="P35" s="19"/>
      <c r="Q35" s="20"/>
    </row>
    <row r="36" spans="1:17" ht="15.75" x14ac:dyDescent="0.25">
      <c r="A36" s="17">
        <v>21</v>
      </c>
      <c r="B36" s="1" t="s">
        <v>47</v>
      </c>
      <c r="C36" s="100"/>
      <c r="D36" s="19"/>
      <c r="E36" s="19"/>
      <c r="F36" s="19"/>
      <c r="G36" s="19"/>
      <c r="H36" s="20"/>
      <c r="I36" s="26"/>
      <c r="J36" s="21"/>
      <c r="L36" s="3"/>
      <c r="M36" s="19"/>
      <c r="N36" s="19"/>
      <c r="O36" s="19"/>
      <c r="P36" s="19"/>
      <c r="Q36" s="20"/>
    </row>
    <row r="37" spans="1:17" x14ac:dyDescent="0.2">
      <c r="A37" s="17">
        <v>22</v>
      </c>
      <c r="B37" s="21" t="s">
        <v>48</v>
      </c>
      <c r="C37" s="108">
        <f>'WS 7 - RNS Charges'!P17</f>
        <v>49706959.950406045</v>
      </c>
      <c r="D37" s="19"/>
      <c r="E37" s="19"/>
      <c r="F37" s="19"/>
      <c r="G37" s="19"/>
      <c r="H37" s="20"/>
      <c r="I37" s="26"/>
      <c r="J37" s="27" t="s">
        <v>49</v>
      </c>
      <c r="L37" s="24"/>
      <c r="M37" s="19"/>
      <c r="N37" s="19"/>
      <c r="O37" s="19"/>
      <c r="P37" s="19"/>
      <c r="Q37" s="20"/>
    </row>
    <row r="38" spans="1:17" ht="15.75" x14ac:dyDescent="0.25">
      <c r="A38" s="17">
        <v>23</v>
      </c>
      <c r="B38" t="s">
        <v>37</v>
      </c>
      <c r="C38" s="9"/>
      <c r="D38" s="22">
        <f>+C37/'WS 4  - Peak Loads'!G30</f>
        <v>204766.05540846981</v>
      </c>
      <c r="E38" s="19">
        <f>+D38/12</f>
        <v>17063.837950705816</v>
      </c>
      <c r="F38" s="19">
        <f>+D38/52</f>
        <v>3937.8087578551886</v>
      </c>
      <c r="G38" s="19">
        <f>+D38/365</f>
        <v>561.00289153005428</v>
      </c>
      <c r="H38" s="20">
        <f>+D38/8760</f>
        <v>23.375120480418929</v>
      </c>
      <c r="I38" s="23"/>
      <c r="J38" s="21" t="s">
        <v>50</v>
      </c>
      <c r="L38" s="9"/>
      <c r="M38" s="22"/>
      <c r="N38" s="19"/>
      <c r="O38" s="19"/>
      <c r="P38" s="19"/>
      <c r="Q38" s="20"/>
    </row>
    <row r="39" spans="1:17" ht="15.75" x14ac:dyDescent="0.25">
      <c r="A39" s="17">
        <v>24</v>
      </c>
      <c r="B39" s="25" t="s">
        <v>39</v>
      </c>
      <c r="C39" s="9"/>
      <c r="D39" s="19"/>
      <c r="E39" s="19"/>
      <c r="F39" s="19"/>
      <c r="G39" s="19"/>
      <c r="H39" s="20"/>
      <c r="I39" s="23"/>
      <c r="J39" s="21"/>
    </row>
    <row r="40" spans="1:17" x14ac:dyDescent="0.2">
      <c r="A40" s="17">
        <v>25</v>
      </c>
      <c r="B40" s="25" t="s">
        <v>40</v>
      </c>
      <c r="C40" s="18"/>
      <c r="D40" s="19"/>
      <c r="E40" s="19"/>
      <c r="F40" s="19"/>
      <c r="G40" s="19"/>
      <c r="H40" s="20"/>
      <c r="I40" s="23"/>
      <c r="J40" s="21"/>
    </row>
    <row r="41" spans="1:17" x14ac:dyDescent="0.2">
      <c r="A41" s="17">
        <v>26</v>
      </c>
      <c r="B41" s="25" t="s">
        <v>41</v>
      </c>
      <c r="C41" s="18"/>
      <c r="D41" s="19"/>
      <c r="E41" s="19"/>
      <c r="F41" s="19"/>
      <c r="G41" s="19"/>
      <c r="H41" s="20"/>
      <c r="I41" s="23"/>
      <c r="J41" s="21"/>
    </row>
    <row r="42" spans="1:17" x14ac:dyDescent="0.2">
      <c r="A42" s="17">
        <v>27</v>
      </c>
      <c r="B42" s="25" t="s">
        <v>42</v>
      </c>
      <c r="C42" s="18"/>
      <c r="D42" s="19"/>
      <c r="E42" s="19"/>
      <c r="F42" s="19"/>
      <c r="G42" s="19"/>
      <c r="H42" s="20"/>
      <c r="I42" s="23"/>
      <c r="J42" s="21"/>
    </row>
    <row r="43" spans="1:17" x14ac:dyDescent="0.2">
      <c r="A43" s="17"/>
      <c r="D43" s="19"/>
      <c r="E43" s="19"/>
      <c r="F43" s="19"/>
      <c r="G43" s="19"/>
      <c r="H43" s="20"/>
      <c r="I43" s="26"/>
      <c r="J43" s="28"/>
    </row>
  </sheetData>
  <mergeCells count="1">
    <mergeCell ref="D12:H12"/>
  </mergeCells>
  <pageMargins left="0.5" right="0.5" top="0.5" bottom="0.5" header="0.5" footer="0.5"/>
  <pageSetup paperSize="5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88EE-A0A1-433D-AFE1-91B800756CBF}">
  <sheetPr>
    <pageSetUpPr fitToPage="1"/>
  </sheetPr>
  <dimension ref="A1:P19"/>
  <sheetViews>
    <sheetView view="pageBreakPreview" topLeftCell="A4" zoomScale="70" zoomScaleNormal="100" zoomScaleSheetLayoutView="70" workbookViewId="0">
      <selection activeCell="C13" sqref="C13"/>
    </sheetView>
  </sheetViews>
  <sheetFormatPr defaultColWidth="8.88671875" defaultRowHeight="15" x14ac:dyDescent="0.2"/>
  <cols>
    <col min="1" max="1" width="5.77734375" customWidth="1"/>
    <col min="2" max="2" width="43.5546875" customWidth="1"/>
    <col min="3" max="3" width="20.5546875" customWidth="1"/>
    <col min="5" max="5" width="9.5546875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220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C7" s="1"/>
    </row>
    <row r="8" spans="1:16" x14ac:dyDescent="0.2">
      <c r="B8" s="66"/>
    </row>
    <row r="9" spans="1:16" ht="15.75" x14ac:dyDescent="0.25">
      <c r="A9" s="182" t="s">
        <v>22</v>
      </c>
      <c r="B9" s="183" t="s">
        <v>221</v>
      </c>
      <c r="C9" s="182" t="s">
        <v>222</v>
      </c>
    </row>
    <row r="10" spans="1:16" x14ac:dyDescent="0.2">
      <c r="A10" s="17">
        <v>1</v>
      </c>
      <c r="B10" s="66" t="s">
        <v>223</v>
      </c>
      <c r="C10" s="63">
        <v>126779.51334912152</v>
      </c>
    </row>
    <row r="11" spans="1:16" x14ac:dyDescent="0.2">
      <c r="A11" s="17">
        <v>2</v>
      </c>
      <c r="B11" s="63" t="s">
        <v>224</v>
      </c>
      <c r="C11" s="63">
        <v>28943.758083084991</v>
      </c>
    </row>
    <row r="12" spans="1:16" x14ac:dyDescent="0.2">
      <c r="A12" s="17">
        <v>3</v>
      </c>
      <c r="B12" s="63" t="s">
        <v>225</v>
      </c>
      <c r="C12" s="63">
        <v>5513.096777730475</v>
      </c>
    </row>
    <row r="13" spans="1:16" x14ac:dyDescent="0.2">
      <c r="A13" s="17">
        <v>4</v>
      </c>
      <c r="B13" s="63" t="s">
        <v>226</v>
      </c>
      <c r="C13" s="63">
        <v>11026.19355546095</v>
      </c>
    </row>
    <row r="14" spans="1:16" x14ac:dyDescent="0.2">
      <c r="A14" s="17">
        <v>5</v>
      </c>
      <c r="B14" s="63"/>
      <c r="C14" s="63"/>
    </row>
    <row r="15" spans="1:16" x14ac:dyDescent="0.2">
      <c r="A15" s="17">
        <v>6</v>
      </c>
      <c r="B15" s="66"/>
      <c r="C15" s="63"/>
    </row>
    <row r="16" spans="1:16" ht="16.5" thickBot="1" x14ac:dyDescent="0.3">
      <c r="A16" s="17">
        <v>7</v>
      </c>
      <c r="B16" s="210" t="s">
        <v>67</v>
      </c>
      <c r="C16" s="211">
        <f>SUM(C10:C15)</f>
        <v>172262.56176539793</v>
      </c>
      <c r="E16" s="53"/>
    </row>
    <row r="17" spans="1:3" ht="15.75" thickTop="1" x14ac:dyDescent="0.2"/>
    <row r="19" spans="1:3" ht="45.75" customHeight="1" x14ac:dyDescent="0.25">
      <c r="A19" s="252" t="s">
        <v>227</v>
      </c>
      <c r="B19" s="252"/>
      <c r="C19" s="252"/>
    </row>
  </sheetData>
  <mergeCells count="1">
    <mergeCell ref="A19:C19"/>
  </mergeCells>
  <pageMargins left="0.5" right="0.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AEE2-74E9-40EE-AD0E-8CFEE07996C5}">
  <sheetPr>
    <pageSetUpPr fitToPage="1"/>
  </sheetPr>
  <dimension ref="A1:P132"/>
  <sheetViews>
    <sheetView view="pageBreakPreview" topLeftCell="A25" zoomScale="70" zoomScaleNormal="85" zoomScaleSheetLayoutView="70" workbookViewId="0">
      <pane xSplit="1" topLeftCell="B1" activePane="topRight" state="frozen"/>
      <selection activeCell="A3" sqref="A3"/>
      <selection pane="topRight" activeCell="D42" sqref="D42"/>
    </sheetView>
  </sheetViews>
  <sheetFormatPr defaultColWidth="8.88671875" defaultRowHeight="15" x14ac:dyDescent="0.2"/>
  <cols>
    <col min="1" max="1" width="60.109375" customWidth="1"/>
    <col min="2" max="3" width="14.44140625" customWidth="1"/>
    <col min="4" max="4" width="14.109375" style="4" customWidth="1"/>
    <col min="5" max="5" width="13.44140625" style="4" customWidth="1"/>
    <col min="6" max="6" width="12.109375" style="5" customWidth="1"/>
    <col min="7" max="7" width="3" customWidth="1"/>
    <col min="10" max="10" width="10" customWidth="1"/>
    <col min="11" max="11" width="10.6640625" customWidth="1"/>
    <col min="13" max="13" width="10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228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229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B7" s="1"/>
      <c r="C7" s="1"/>
      <c r="D7" s="1"/>
      <c r="E7" s="1"/>
      <c r="F7" s="1"/>
      <c r="G7" s="17"/>
    </row>
    <row r="9" spans="1:16" ht="15.75" customHeight="1" x14ac:dyDescent="0.25">
      <c r="E9" s="253" t="s">
        <v>230</v>
      </c>
      <c r="F9" s="253"/>
      <c r="G9" s="17"/>
    </row>
    <row r="10" spans="1:16" ht="78.75" x14ac:dyDescent="0.25">
      <c r="A10" s="182" t="s">
        <v>122</v>
      </c>
      <c r="B10" s="194" t="s">
        <v>146</v>
      </c>
      <c r="C10" s="194" t="s">
        <v>231</v>
      </c>
      <c r="D10" s="212" t="s">
        <v>232</v>
      </c>
      <c r="E10" s="212" t="s">
        <v>233</v>
      </c>
      <c r="F10" s="213" t="s">
        <v>234</v>
      </c>
      <c r="G10" s="12"/>
    </row>
    <row r="11" spans="1:16" x14ac:dyDescent="0.2">
      <c r="A11" s="32" t="s">
        <v>235</v>
      </c>
      <c r="B11" s="32" t="s">
        <v>236</v>
      </c>
      <c r="C11" s="32" t="s">
        <v>237</v>
      </c>
      <c r="D11" s="19" t="s">
        <v>238</v>
      </c>
      <c r="E11" s="19" t="s">
        <v>239</v>
      </c>
      <c r="F11" s="20" t="s">
        <v>240</v>
      </c>
      <c r="G11" s="17"/>
    </row>
    <row r="12" spans="1:16" ht="30" x14ac:dyDescent="0.2">
      <c r="A12" s="32"/>
      <c r="B12" s="32" t="s">
        <v>241</v>
      </c>
      <c r="C12" s="32" t="s">
        <v>241</v>
      </c>
      <c r="D12" s="19" t="s">
        <v>242</v>
      </c>
      <c r="E12" s="33" t="s">
        <v>243</v>
      </c>
      <c r="F12" s="34" t="s">
        <v>244</v>
      </c>
      <c r="G12" s="17"/>
    </row>
    <row r="13" spans="1:16" x14ac:dyDescent="0.2">
      <c r="C13" s="35"/>
      <c r="G13" s="17"/>
    </row>
    <row r="14" spans="1:16" x14ac:dyDescent="0.2">
      <c r="A14" s="189" t="s">
        <v>245</v>
      </c>
      <c r="B14" s="190" t="s">
        <v>246</v>
      </c>
      <c r="C14" s="190" t="s">
        <v>247</v>
      </c>
      <c r="D14" s="190" t="s">
        <v>248</v>
      </c>
      <c r="E14" s="190" t="s">
        <v>249</v>
      </c>
      <c r="F14" s="190" t="s">
        <v>250</v>
      </c>
      <c r="G14" s="17"/>
    </row>
    <row r="15" spans="1:16" ht="15.75" x14ac:dyDescent="0.25">
      <c r="A15" s="36" t="s">
        <v>149</v>
      </c>
      <c r="B15" s="35">
        <f>'WS 6 - Retail Conv Factors'!H28</f>
        <v>1.7394403555225991E-4</v>
      </c>
      <c r="C15" s="37"/>
      <c r="D15" s="19">
        <f>'WS 3 - Retail Charges'!D22</f>
        <v>118998.81642224758</v>
      </c>
      <c r="F15" s="5">
        <f t="shared" ref="F15:F21" si="0">+B15*D15/1000</f>
        <v>2.0699134354428283E-2</v>
      </c>
      <c r="G15" s="38"/>
    </row>
    <row r="16" spans="1:16" ht="15.75" x14ac:dyDescent="0.25">
      <c r="A16" s="36" t="s">
        <v>150</v>
      </c>
      <c r="B16" s="35">
        <f>'WS 6 - Retail Conv Factors'!H29</f>
        <v>1.4989150435554713E-4</v>
      </c>
      <c r="C16" s="37"/>
      <c r="D16" s="19">
        <f t="shared" ref="D16:D31" si="1">+D15</f>
        <v>118998.81642224758</v>
      </c>
      <c r="F16" s="5">
        <f t="shared" si="0"/>
        <v>1.7836911610060277E-2</v>
      </c>
      <c r="G16" s="38"/>
    </row>
    <row r="17" spans="1:7" ht="15.75" x14ac:dyDescent="0.25">
      <c r="A17" s="36" t="s">
        <v>151</v>
      </c>
      <c r="B17" s="35"/>
      <c r="C17" s="37">
        <f>'WS 6 - Retail Conv Factors'!K30</f>
        <v>0.66661463680721633</v>
      </c>
      <c r="D17" s="19">
        <f t="shared" si="1"/>
        <v>118998.81642224758</v>
      </c>
      <c r="E17" s="4">
        <f>+C17*D17/12/1000</f>
        <v>6.6105293991504324</v>
      </c>
      <c r="F17" s="5">
        <f t="shared" si="0"/>
        <v>0</v>
      </c>
      <c r="G17" s="38"/>
    </row>
    <row r="18" spans="1:7" ht="15.75" x14ac:dyDescent="0.25">
      <c r="A18" s="36" t="s">
        <v>152</v>
      </c>
      <c r="B18" s="35"/>
      <c r="C18" s="37">
        <f>'WS 6 - Retail Conv Factors'!K31</f>
        <v>0.64382168367699644</v>
      </c>
      <c r="D18" s="19">
        <f t="shared" si="1"/>
        <v>118998.81642224758</v>
      </c>
      <c r="E18" s="4">
        <f>+C18*D18/12/1000</f>
        <v>6.3845015287117706</v>
      </c>
      <c r="F18" s="5">
        <f t="shared" si="0"/>
        <v>0</v>
      </c>
      <c r="G18" s="38"/>
    </row>
    <row r="19" spans="1:7" ht="15.75" x14ac:dyDescent="0.25">
      <c r="A19" s="36" t="s">
        <v>153</v>
      </c>
      <c r="B19" s="35"/>
      <c r="C19" s="37">
        <f>'WS 6 - Retail Conv Factors'!K32</f>
        <v>0.64382168367699644</v>
      </c>
      <c r="D19" s="19">
        <f t="shared" si="1"/>
        <v>118998.81642224758</v>
      </c>
      <c r="E19" s="4">
        <f>+C19*D19/12/1000</f>
        <v>6.3845015287117706</v>
      </c>
      <c r="F19" s="5">
        <f t="shared" si="0"/>
        <v>0</v>
      </c>
      <c r="G19" s="38"/>
    </row>
    <row r="20" spans="1:7" ht="15.75" x14ac:dyDescent="0.25">
      <c r="A20" s="36" t="s">
        <v>154</v>
      </c>
      <c r="B20" s="35"/>
      <c r="C20" s="37">
        <f>'WS 6 - Retail Conv Factors'!K33</f>
        <v>0.62009308492911452</v>
      </c>
      <c r="D20" s="19">
        <f t="shared" si="1"/>
        <v>118998.81642224758</v>
      </c>
      <c r="E20" s="4">
        <f>+C20*D20/12/1000</f>
        <v>6.1491952648487391</v>
      </c>
      <c r="F20" s="5">
        <f t="shared" si="0"/>
        <v>0</v>
      </c>
      <c r="G20" s="38"/>
    </row>
    <row r="21" spans="1:7" ht="15.75" x14ac:dyDescent="0.25">
      <c r="A21" s="36" t="s">
        <v>130</v>
      </c>
      <c r="B21" s="35"/>
      <c r="C21" s="37">
        <f>'WS 6 - Retail Conv Factors'!K34</f>
        <v>0.19180959359540892</v>
      </c>
      <c r="D21" s="19">
        <f t="shared" si="1"/>
        <v>118998.81642224758</v>
      </c>
      <c r="E21" s="4">
        <f>+C21*D21/12/1000</f>
        <v>1.9020928846904983</v>
      </c>
      <c r="F21" s="5">
        <f t="shared" si="0"/>
        <v>0</v>
      </c>
      <c r="G21" s="38"/>
    </row>
    <row r="22" spans="1:7" ht="15.75" x14ac:dyDescent="0.25">
      <c r="A22" s="36" t="s">
        <v>131</v>
      </c>
      <c r="B22" s="35">
        <f>'WS 6 - Retail Conv Factors'!H35</f>
        <v>0</v>
      </c>
      <c r="C22" s="37"/>
      <c r="D22" s="19">
        <f t="shared" si="1"/>
        <v>118998.81642224758</v>
      </c>
      <c r="G22" s="17"/>
    </row>
    <row r="23" spans="1:7" ht="15.75" x14ac:dyDescent="0.25">
      <c r="A23" s="36" t="s">
        <v>155</v>
      </c>
      <c r="B23" s="35">
        <f>'WS 6 - Retail Conv Factors'!H36</f>
        <v>7.3061897319228033E-5</v>
      </c>
      <c r="C23" s="37"/>
      <c r="D23" s="19">
        <f t="shared" si="1"/>
        <v>118998.81642224758</v>
      </c>
      <c r="F23" s="5">
        <f>+B23*D23/1000</f>
        <v>8.6942793065519202E-3</v>
      </c>
      <c r="G23" s="38"/>
    </row>
    <row r="24" spans="1:7" ht="15.75" x14ac:dyDescent="0.25">
      <c r="A24" s="36" t="s">
        <v>156</v>
      </c>
      <c r="B24" s="35">
        <f>'WS 6 - Retail Conv Factors'!H37</f>
        <v>7.3061897319228033E-5</v>
      </c>
      <c r="C24" s="37"/>
      <c r="D24" s="19">
        <f t="shared" si="1"/>
        <v>118998.81642224758</v>
      </c>
      <c r="F24" s="5">
        <f>+B24*D24/1000</f>
        <v>8.6942793065519202E-3</v>
      </c>
      <c r="G24" s="38"/>
    </row>
    <row r="25" spans="1:7" ht="15.75" x14ac:dyDescent="0.25">
      <c r="A25" s="36" t="s">
        <v>157</v>
      </c>
      <c r="B25" s="35">
        <f>'WS 6 - Retail Conv Factors'!H38</f>
        <v>1.3737589605179807E-4</v>
      </c>
      <c r="C25" s="37">
        <f>'WS 6 - Retail Conv Factors'!K38</f>
        <v>0</v>
      </c>
      <c r="D25" s="19">
        <f t="shared" si="1"/>
        <v>118998.81642224758</v>
      </c>
      <c r="E25" s="4">
        <f t="shared" ref="E25:E31" si="2">+C25*D25/12/1000</f>
        <v>0</v>
      </c>
      <c r="F25" s="5">
        <f>+B25*D25/1000</f>
        <v>1.6347569035109685E-2</v>
      </c>
      <c r="G25" s="38"/>
    </row>
    <row r="26" spans="1:7" ht="15.75" x14ac:dyDescent="0.25">
      <c r="A26" s="36" t="s">
        <v>158</v>
      </c>
      <c r="B26" s="35">
        <f>'WS 6 - Retail Conv Factors'!H39</f>
        <v>1.3302783750543767E-4</v>
      </c>
      <c r="C26" s="37">
        <f>'WS 6 - Retail Conv Factors'!K39</f>
        <v>0</v>
      </c>
      <c r="D26" s="19">
        <f t="shared" si="1"/>
        <v>118998.81642224758</v>
      </c>
      <c r="E26" s="4">
        <f t="shared" si="2"/>
        <v>0</v>
      </c>
      <c r="F26" s="5">
        <f>+B26*D26/1000</f>
        <v>1.5830155214358158E-2</v>
      </c>
      <c r="G26" s="38"/>
    </row>
    <row r="27" spans="1:7" ht="15.75" x14ac:dyDescent="0.25">
      <c r="A27" s="36" t="s">
        <v>159</v>
      </c>
      <c r="B27" s="35">
        <f>'WS 6 - Retail Conv Factors'!H40</f>
        <v>1.2895586413483337E-4</v>
      </c>
      <c r="C27" s="37">
        <f>'WS 6 - Retail Conv Factors'!K40</f>
        <v>0</v>
      </c>
      <c r="D27" s="19">
        <f t="shared" si="1"/>
        <v>118998.81642224758</v>
      </c>
      <c r="E27" s="4">
        <f t="shared" si="2"/>
        <v>0</v>
      </c>
      <c r="F27" s="5">
        <f>+B27*D27/1000</f>
        <v>1.5345595202753335E-2</v>
      </c>
      <c r="G27" s="38"/>
    </row>
    <row r="28" spans="1:7" ht="15.75" x14ac:dyDescent="0.25">
      <c r="A28" s="36" t="s">
        <v>134</v>
      </c>
      <c r="B28" s="35"/>
      <c r="C28" s="37">
        <f>'WS 6 - Retail Conv Factors'!K41</f>
        <v>1.1189186769905564</v>
      </c>
      <c r="D28" s="19">
        <f t="shared" si="1"/>
        <v>118998.81642224758</v>
      </c>
      <c r="E28" s="4">
        <f t="shared" si="2"/>
        <v>11.095833186218611</v>
      </c>
      <c r="G28" s="38"/>
    </row>
    <row r="29" spans="1:7" ht="15.75" x14ac:dyDescent="0.25">
      <c r="A29" s="36" t="s">
        <v>135</v>
      </c>
      <c r="B29" s="35"/>
      <c r="C29" s="37">
        <f>'WS 6 - Retail Conv Factors'!K42</f>
        <v>1.0806604996974152</v>
      </c>
      <c r="D29" s="19">
        <f t="shared" si="1"/>
        <v>118998.81642224758</v>
      </c>
      <c r="E29" s="4">
        <f t="shared" si="2"/>
        <v>10.716443368188921</v>
      </c>
      <c r="G29" s="38"/>
    </row>
    <row r="30" spans="1:7" ht="15.75" x14ac:dyDescent="0.25">
      <c r="A30" s="36" t="s">
        <v>136</v>
      </c>
      <c r="B30" s="35"/>
      <c r="C30" s="37">
        <f>'WS 6 - Retail Conv Factors'!K43</f>
        <v>1.0408318328007744</v>
      </c>
      <c r="D30" s="19">
        <f t="shared" si="1"/>
        <v>118998.81642224758</v>
      </c>
      <c r="E30" s="4">
        <f t="shared" si="2"/>
        <v>10.32147968315757</v>
      </c>
      <c r="G30" s="38"/>
    </row>
    <row r="31" spans="1:7" ht="15.75" x14ac:dyDescent="0.25">
      <c r="A31" s="36" t="s">
        <v>137</v>
      </c>
      <c r="B31" s="35"/>
      <c r="C31" s="37">
        <f>'WS 6 - Retail Conv Factors'!K44</f>
        <v>1.0155892956888235</v>
      </c>
      <c r="D31" s="19">
        <f t="shared" si="1"/>
        <v>118998.81642224758</v>
      </c>
      <c r="E31" s="4">
        <f t="shared" si="2"/>
        <v>10.071160346506169</v>
      </c>
      <c r="G31" s="38"/>
    </row>
    <row r="32" spans="1:7" x14ac:dyDescent="0.2">
      <c r="C32" s="35"/>
      <c r="G32" s="38"/>
    </row>
    <row r="33" spans="1:7" x14ac:dyDescent="0.2">
      <c r="G33" s="17"/>
    </row>
    <row r="34" spans="1:7" x14ac:dyDescent="0.2">
      <c r="A34" s="189" t="s">
        <v>251</v>
      </c>
      <c r="B34" s="190" t="s">
        <v>246</v>
      </c>
      <c r="C34" s="190" t="s">
        <v>247</v>
      </c>
      <c r="D34" s="190" t="s">
        <v>248</v>
      </c>
      <c r="E34" s="190" t="s">
        <v>249</v>
      </c>
      <c r="F34" s="190" t="s">
        <v>250</v>
      </c>
      <c r="G34" s="17"/>
    </row>
    <row r="35" spans="1:7" ht="15.75" x14ac:dyDescent="0.25">
      <c r="A35" s="36" t="s">
        <v>149</v>
      </c>
      <c r="B35" s="35">
        <f t="shared" ref="B35:B36" si="3">+B15</f>
        <v>1.7394403555225991E-4</v>
      </c>
      <c r="C35" s="37"/>
      <c r="D35" s="19">
        <f>'WS 3 - Retail Charges'!D30</f>
        <v>0</v>
      </c>
      <c r="F35" s="5">
        <f>+B35*D35/1000</f>
        <v>0</v>
      </c>
      <c r="G35" s="38"/>
    </row>
    <row r="36" spans="1:7" ht="15.75" x14ac:dyDescent="0.25">
      <c r="A36" s="36" t="s">
        <v>150</v>
      </c>
      <c r="B36" s="35">
        <f t="shared" si="3"/>
        <v>1.4989150435554713E-4</v>
      </c>
      <c r="C36" s="37"/>
      <c r="D36" s="19">
        <f t="shared" ref="D36:D51" si="4">+D35</f>
        <v>0</v>
      </c>
      <c r="F36" s="5">
        <f>+B36*D36/1000</f>
        <v>0</v>
      </c>
      <c r="G36" s="38"/>
    </row>
    <row r="37" spans="1:7" ht="15.75" x14ac:dyDescent="0.25">
      <c r="A37" s="36" t="s">
        <v>151</v>
      </c>
      <c r="B37" s="35"/>
      <c r="C37" s="37">
        <f>+C17</f>
        <v>0.66661463680721633</v>
      </c>
      <c r="D37" s="19">
        <f t="shared" si="4"/>
        <v>0</v>
      </c>
      <c r="E37" s="4">
        <f>+C37*D37/12/1000</f>
        <v>0</v>
      </c>
      <c r="F37" s="5">
        <f ca="1">IF(CELL("contents",B37)=0,+D37*B37,"")</f>
        <v>0</v>
      </c>
      <c r="G37" s="38"/>
    </row>
    <row r="38" spans="1:7" ht="15.75" x14ac:dyDescent="0.25">
      <c r="A38" s="36" t="s">
        <v>152</v>
      </c>
      <c r="B38" s="35"/>
      <c r="C38" s="37">
        <f>+C18</f>
        <v>0.64382168367699644</v>
      </c>
      <c r="D38" s="19">
        <f t="shared" si="4"/>
        <v>0</v>
      </c>
      <c r="E38" s="4">
        <f>+C38*D38/12/1000</f>
        <v>0</v>
      </c>
      <c r="F38" s="5">
        <f ca="1">IF(CELL("contents",B38)=0,+D38*B38,"")</f>
        <v>0</v>
      </c>
      <c r="G38" s="38"/>
    </row>
    <row r="39" spans="1:7" ht="15.75" x14ac:dyDescent="0.25">
      <c r="A39" s="36" t="s">
        <v>153</v>
      </c>
      <c r="B39" s="35"/>
      <c r="C39" s="37">
        <f>+C19</f>
        <v>0.64382168367699644</v>
      </c>
      <c r="D39" s="19">
        <f t="shared" si="4"/>
        <v>0</v>
      </c>
      <c r="E39" s="4">
        <f>+C39*D39/12/1000</f>
        <v>0</v>
      </c>
      <c r="F39" s="5">
        <f ca="1">IF(CELL("contents",B39)=0,+D39*B39,"")</f>
        <v>0</v>
      </c>
      <c r="G39" s="38"/>
    </row>
    <row r="40" spans="1:7" ht="15.75" x14ac:dyDescent="0.25">
      <c r="A40" s="36" t="s">
        <v>154</v>
      </c>
      <c r="B40" s="35"/>
      <c r="C40" s="37">
        <f>+C20</f>
        <v>0.62009308492911452</v>
      </c>
      <c r="D40" s="19">
        <f t="shared" si="4"/>
        <v>0</v>
      </c>
      <c r="E40" s="4">
        <f>+C40*D40/12/1000</f>
        <v>0</v>
      </c>
      <c r="F40" s="5">
        <f ca="1">IF(CELL("contents",B40)=0,+D40*B40,"")</f>
        <v>0</v>
      </c>
      <c r="G40" s="38"/>
    </row>
    <row r="41" spans="1:7" ht="15.75" x14ac:dyDescent="0.25">
      <c r="A41" s="36" t="s">
        <v>130</v>
      </c>
      <c r="B41" s="35"/>
      <c r="C41" s="37">
        <f>+C21</f>
        <v>0.19180959359540892</v>
      </c>
      <c r="D41" s="19">
        <f t="shared" si="4"/>
        <v>0</v>
      </c>
      <c r="E41" s="4">
        <f>+C41*D41/12/1000</f>
        <v>0</v>
      </c>
      <c r="F41" s="5">
        <f ca="1">IF(CELL("contents",B41)=0,+D41*B41,"")</f>
        <v>0</v>
      </c>
      <c r="G41" s="38"/>
    </row>
    <row r="42" spans="1:7" ht="15.75" x14ac:dyDescent="0.25">
      <c r="A42" s="36" t="s">
        <v>131</v>
      </c>
      <c r="B42" s="35">
        <f>B22</f>
        <v>0</v>
      </c>
      <c r="C42" s="37"/>
      <c r="D42" s="19">
        <f t="shared" si="4"/>
        <v>0</v>
      </c>
      <c r="G42" s="17"/>
    </row>
    <row r="43" spans="1:7" ht="15.75" x14ac:dyDescent="0.25">
      <c r="A43" s="36" t="s">
        <v>155</v>
      </c>
      <c r="B43" s="35">
        <f>+B23</f>
        <v>7.3061897319228033E-5</v>
      </c>
      <c r="C43" s="37"/>
      <c r="D43" s="19">
        <f t="shared" si="4"/>
        <v>0</v>
      </c>
      <c r="F43" s="5">
        <f>+B43*D43/1000</f>
        <v>0</v>
      </c>
      <c r="G43" s="38"/>
    </row>
    <row r="44" spans="1:7" ht="15.75" x14ac:dyDescent="0.25">
      <c r="A44" s="36" t="s">
        <v>156</v>
      </c>
      <c r="B44" s="35">
        <f>+B24</f>
        <v>7.3061897319228033E-5</v>
      </c>
      <c r="C44" s="37"/>
      <c r="D44" s="19">
        <f t="shared" si="4"/>
        <v>0</v>
      </c>
      <c r="F44" s="5">
        <f>+B44*D44/1000</f>
        <v>0</v>
      </c>
      <c r="G44" s="38"/>
    </row>
    <row r="45" spans="1:7" ht="15.75" x14ac:dyDescent="0.25">
      <c r="A45" s="36" t="s">
        <v>157</v>
      </c>
      <c r="B45" s="35">
        <f>+B25</f>
        <v>1.3737589605179807E-4</v>
      </c>
      <c r="C45" s="37">
        <f t="shared" ref="C45:C51" si="5">+C25</f>
        <v>0</v>
      </c>
      <c r="D45" s="19">
        <f t="shared" si="4"/>
        <v>0</v>
      </c>
      <c r="E45" s="4">
        <f t="shared" ref="E45:E51" si="6">+C45*D45/12/1000</f>
        <v>0</v>
      </c>
      <c r="F45" s="5">
        <f>+B45*D45/1000</f>
        <v>0</v>
      </c>
      <c r="G45" s="38"/>
    </row>
    <row r="46" spans="1:7" ht="15.75" x14ac:dyDescent="0.25">
      <c r="A46" s="36" t="s">
        <v>158</v>
      </c>
      <c r="B46" s="35">
        <f>+B26</f>
        <v>1.3302783750543767E-4</v>
      </c>
      <c r="C46" s="37">
        <f t="shared" si="5"/>
        <v>0</v>
      </c>
      <c r="D46" s="19">
        <f t="shared" si="4"/>
        <v>0</v>
      </c>
      <c r="E46" s="4">
        <f t="shared" si="6"/>
        <v>0</v>
      </c>
      <c r="F46" s="5">
        <f>+B46*D46/1000</f>
        <v>0</v>
      </c>
      <c r="G46" s="38"/>
    </row>
    <row r="47" spans="1:7" ht="15.75" x14ac:dyDescent="0.25">
      <c r="A47" s="36" t="s">
        <v>159</v>
      </c>
      <c r="B47" s="35">
        <f>+B27</f>
        <v>1.2895586413483337E-4</v>
      </c>
      <c r="C47" s="37">
        <f t="shared" si="5"/>
        <v>0</v>
      </c>
      <c r="D47" s="19">
        <f t="shared" si="4"/>
        <v>0</v>
      </c>
      <c r="E47" s="4">
        <f t="shared" si="6"/>
        <v>0</v>
      </c>
      <c r="F47" s="5">
        <f>+B47*D47/1000</f>
        <v>0</v>
      </c>
      <c r="G47" s="38"/>
    </row>
    <row r="48" spans="1:7" ht="15.75" x14ac:dyDescent="0.25">
      <c r="A48" s="36" t="s">
        <v>134</v>
      </c>
      <c r="B48" s="35"/>
      <c r="C48" s="37">
        <f t="shared" si="5"/>
        <v>1.1189186769905564</v>
      </c>
      <c r="D48" s="19">
        <f t="shared" si="4"/>
        <v>0</v>
      </c>
      <c r="E48" s="4">
        <f t="shared" si="6"/>
        <v>0</v>
      </c>
      <c r="G48" s="38"/>
    </row>
    <row r="49" spans="1:7" ht="15.75" x14ac:dyDescent="0.25">
      <c r="A49" s="36" t="s">
        <v>135</v>
      </c>
      <c r="B49" s="35"/>
      <c r="C49" s="37">
        <f t="shared" si="5"/>
        <v>1.0806604996974152</v>
      </c>
      <c r="D49" s="19">
        <f t="shared" si="4"/>
        <v>0</v>
      </c>
      <c r="E49" s="4">
        <f t="shared" si="6"/>
        <v>0</v>
      </c>
      <c r="G49" s="38"/>
    </row>
    <row r="50" spans="1:7" ht="15.75" x14ac:dyDescent="0.25">
      <c r="A50" s="36" t="s">
        <v>136</v>
      </c>
      <c r="B50" s="35"/>
      <c r="C50" s="37">
        <f t="shared" si="5"/>
        <v>1.0408318328007744</v>
      </c>
      <c r="D50" s="19">
        <f t="shared" si="4"/>
        <v>0</v>
      </c>
      <c r="E50" s="4">
        <f t="shared" si="6"/>
        <v>0</v>
      </c>
      <c r="G50" s="38"/>
    </row>
    <row r="51" spans="1:7" ht="15.75" x14ac:dyDescent="0.25">
      <c r="A51" s="36" t="s">
        <v>137</v>
      </c>
      <c r="B51" s="35"/>
      <c r="C51" s="37">
        <f t="shared" si="5"/>
        <v>1.0155892956888235</v>
      </c>
      <c r="D51" s="19">
        <f t="shared" si="4"/>
        <v>0</v>
      </c>
      <c r="E51" s="4">
        <f t="shared" si="6"/>
        <v>0</v>
      </c>
      <c r="G51" s="38"/>
    </row>
    <row r="52" spans="1:7" x14ac:dyDescent="0.2">
      <c r="B52" s="35"/>
      <c r="C52" s="35"/>
      <c r="D52" s="19"/>
      <c r="G52" s="38"/>
    </row>
    <row r="53" spans="1:7" x14ac:dyDescent="0.2">
      <c r="B53" s="35"/>
      <c r="C53" s="35"/>
      <c r="D53" s="19"/>
      <c r="G53" s="38"/>
    </row>
    <row r="54" spans="1:7" x14ac:dyDescent="0.2">
      <c r="A54" s="189" t="s">
        <v>252</v>
      </c>
      <c r="B54" s="190" t="s">
        <v>246</v>
      </c>
      <c r="C54" s="190" t="s">
        <v>247</v>
      </c>
      <c r="D54" s="190" t="s">
        <v>248</v>
      </c>
      <c r="E54" s="190" t="s">
        <v>249</v>
      </c>
      <c r="F54" s="190" t="s">
        <v>250</v>
      </c>
      <c r="G54" s="17"/>
    </row>
    <row r="55" spans="1:7" ht="15.75" x14ac:dyDescent="0.25">
      <c r="A55" s="36" t="s">
        <v>149</v>
      </c>
      <c r="B55" s="35">
        <f t="shared" ref="B55:B67" si="7">B35</f>
        <v>1.7394403555225991E-4</v>
      </c>
      <c r="C55" s="37"/>
      <c r="D55" s="19">
        <f>'WS 3 - Retail Charges'!D38</f>
        <v>204766.05540846981</v>
      </c>
      <c r="F55" s="5">
        <f>+B55*D55/1000</f>
        <v>3.5617834021866898E-2</v>
      </c>
      <c r="G55" s="38"/>
    </row>
    <row r="56" spans="1:7" ht="15.75" x14ac:dyDescent="0.25">
      <c r="A56" s="36" t="s">
        <v>150</v>
      </c>
      <c r="B56" s="35">
        <f t="shared" si="7"/>
        <v>1.4989150435554713E-4</v>
      </c>
      <c r="C56" s="37"/>
      <c r="D56" s="19">
        <f t="shared" ref="D56:D71" si="8">+D55</f>
        <v>204766.05540846981</v>
      </c>
      <c r="F56" s="5">
        <f>+B56*D56/1000</f>
        <v>3.0692692086126856E-2</v>
      </c>
      <c r="G56" s="38"/>
    </row>
    <row r="57" spans="1:7" ht="15.75" x14ac:dyDescent="0.25">
      <c r="A57" s="36" t="s">
        <v>151</v>
      </c>
      <c r="B57" s="35"/>
      <c r="C57" s="37">
        <f>C37</f>
        <v>0.66661463680721633</v>
      </c>
      <c r="D57" s="19">
        <f t="shared" si="8"/>
        <v>204766.05540846981</v>
      </c>
      <c r="E57" s="4">
        <f>+C57*D57/12/1000</f>
        <v>11.375004138046954</v>
      </c>
      <c r="F57" s="5">
        <f ca="1">IF(CELL("contents",B57)=0,+D57*B57,"")</f>
        <v>0</v>
      </c>
      <c r="G57" s="38"/>
    </row>
    <row r="58" spans="1:7" ht="15.75" x14ac:dyDescent="0.25">
      <c r="A58" s="36" t="s">
        <v>152</v>
      </c>
      <c r="B58" s="35"/>
      <c r="C58" s="37">
        <f>C38</f>
        <v>0.64382168367699644</v>
      </c>
      <c r="D58" s="19">
        <f t="shared" si="8"/>
        <v>204766.05540846981</v>
      </c>
      <c r="E58" s="4">
        <f>+C58*D58/12/1000</f>
        <v>10.986068879414846</v>
      </c>
      <c r="F58" s="5">
        <f ca="1">IF(CELL("contents",B58)=0,+D58*B58,"")</f>
        <v>0</v>
      </c>
      <c r="G58" s="38"/>
    </row>
    <row r="59" spans="1:7" ht="15.75" x14ac:dyDescent="0.25">
      <c r="A59" s="36" t="s">
        <v>153</v>
      </c>
      <c r="B59" s="35"/>
      <c r="C59" s="37">
        <f>C39</f>
        <v>0.64382168367699644</v>
      </c>
      <c r="D59" s="19">
        <f t="shared" si="8"/>
        <v>204766.05540846981</v>
      </c>
      <c r="E59" s="4">
        <f>+C59*D59/12/1000</f>
        <v>10.986068879414846</v>
      </c>
      <c r="F59" s="5">
        <f ca="1">IF(CELL("contents",B59)=0,+D59*B59,"")</f>
        <v>0</v>
      </c>
      <c r="G59" s="38"/>
    </row>
    <row r="60" spans="1:7" ht="15.75" x14ac:dyDescent="0.25">
      <c r="A60" s="36" t="s">
        <v>154</v>
      </c>
      <c r="B60" s="35"/>
      <c r="C60" s="37">
        <f>C40</f>
        <v>0.62009308492911452</v>
      </c>
      <c r="D60" s="19">
        <f t="shared" si="8"/>
        <v>204766.05540846981</v>
      </c>
      <c r="E60" s="4">
        <f>+C60*D60/12/1000</f>
        <v>10.58116791558367</v>
      </c>
      <c r="F60" s="5">
        <f ca="1">IF(CELL("contents",B60)=0,+D60*B60,"")</f>
        <v>0</v>
      </c>
      <c r="G60" s="38"/>
    </row>
    <row r="61" spans="1:7" ht="15.75" x14ac:dyDescent="0.25">
      <c r="A61" s="36" t="s">
        <v>130</v>
      </c>
      <c r="B61" s="35"/>
      <c r="C61" s="37">
        <f>C41</f>
        <v>0.19180959359540892</v>
      </c>
      <c r="D61" s="19">
        <f t="shared" si="8"/>
        <v>204766.05540846981</v>
      </c>
      <c r="E61" s="4">
        <f>+C61*D61/12/1000</f>
        <v>3.2730078225027976</v>
      </c>
      <c r="F61" s="5">
        <f ca="1">IF(CELL("contents",B61)=0,+D61*B61,"")</f>
        <v>0</v>
      </c>
      <c r="G61" s="38"/>
    </row>
    <row r="62" spans="1:7" ht="15.75" x14ac:dyDescent="0.25">
      <c r="A62" s="36" t="s">
        <v>131</v>
      </c>
      <c r="B62" s="35">
        <f t="shared" si="7"/>
        <v>0</v>
      </c>
      <c r="C62" s="37"/>
      <c r="D62" s="19">
        <f t="shared" si="8"/>
        <v>204766.05540846981</v>
      </c>
      <c r="G62" s="17"/>
    </row>
    <row r="63" spans="1:7" ht="15.75" x14ac:dyDescent="0.25">
      <c r="A63" s="36" t="s">
        <v>155</v>
      </c>
      <c r="B63" s="35">
        <f t="shared" si="7"/>
        <v>7.3061897319228033E-5</v>
      </c>
      <c r="C63" s="37"/>
      <c r="D63" s="19">
        <f t="shared" si="8"/>
        <v>204766.05540846981</v>
      </c>
      <c r="F63" s="5">
        <f>+B63*D63/1000</f>
        <v>1.4960596514716979E-2</v>
      </c>
      <c r="G63" s="38"/>
    </row>
    <row r="64" spans="1:7" ht="15.75" x14ac:dyDescent="0.25">
      <c r="A64" s="36" t="s">
        <v>156</v>
      </c>
      <c r="B64" s="35">
        <f t="shared" si="7"/>
        <v>7.3061897319228033E-5</v>
      </c>
      <c r="C64" s="37"/>
      <c r="D64" s="19">
        <f t="shared" si="8"/>
        <v>204766.05540846981</v>
      </c>
      <c r="F64" s="5">
        <f>+B64*D64/1000</f>
        <v>1.4960596514716979E-2</v>
      </c>
      <c r="G64" s="38"/>
    </row>
    <row r="65" spans="1:7" ht="15.75" x14ac:dyDescent="0.25">
      <c r="A65" s="36" t="s">
        <v>157</v>
      </c>
      <c r="B65" s="35">
        <f t="shared" si="7"/>
        <v>1.3737589605179807E-4</v>
      </c>
      <c r="C65" s="37">
        <f>+C45</f>
        <v>0</v>
      </c>
      <c r="D65" s="19">
        <f t="shared" si="8"/>
        <v>204766.05540846981</v>
      </c>
      <c r="E65" s="4">
        <f t="shared" ref="E65:E71" si="9">+C65*D65/12/1000</f>
        <v>0</v>
      </c>
      <c r="F65" s="5">
        <f>+B65*D65/1000</f>
        <v>2.8129920342730673E-2</v>
      </c>
      <c r="G65" s="38"/>
    </row>
    <row r="66" spans="1:7" ht="15.75" x14ac:dyDescent="0.25">
      <c r="A66" s="36" t="s">
        <v>158</v>
      </c>
      <c r="B66" s="35">
        <f t="shared" si="7"/>
        <v>1.3302783750543767E-4</v>
      </c>
      <c r="C66" s="37">
        <f>+C46</f>
        <v>0</v>
      </c>
      <c r="D66" s="19">
        <f t="shared" si="8"/>
        <v>204766.05540846981</v>
      </c>
      <c r="E66" s="4">
        <f t="shared" si="9"/>
        <v>0</v>
      </c>
      <c r="F66" s="5">
        <f>+B66*D66/1000</f>
        <v>2.7239585545507369E-2</v>
      </c>
      <c r="G66" s="38"/>
    </row>
    <row r="67" spans="1:7" ht="15.75" x14ac:dyDescent="0.25">
      <c r="A67" s="36" t="s">
        <v>159</v>
      </c>
      <c r="B67" s="35">
        <f t="shared" si="7"/>
        <v>1.2895586413483337E-4</v>
      </c>
      <c r="C67" s="37">
        <f>+C47</f>
        <v>0</v>
      </c>
      <c r="D67" s="19">
        <f t="shared" si="8"/>
        <v>204766.05540846981</v>
      </c>
      <c r="E67" s="4">
        <f t="shared" si="9"/>
        <v>0</v>
      </c>
      <c r="F67" s="5">
        <f>+B67*D67/1000</f>
        <v>2.6405783620680391E-2</v>
      </c>
      <c r="G67" s="38"/>
    </row>
    <row r="68" spans="1:7" ht="15.75" x14ac:dyDescent="0.25">
      <c r="A68" s="36" t="s">
        <v>134</v>
      </c>
      <c r="B68" s="35"/>
      <c r="C68" s="37">
        <f>C48</f>
        <v>1.1189186769905564</v>
      </c>
      <c r="D68" s="19">
        <f t="shared" si="8"/>
        <v>204766.05540846981</v>
      </c>
      <c r="E68" s="4">
        <f t="shared" si="9"/>
        <v>19.093046984184998</v>
      </c>
      <c r="G68" s="38"/>
    </row>
    <row r="69" spans="1:7" ht="15.75" x14ac:dyDescent="0.25">
      <c r="A69" s="36" t="s">
        <v>135</v>
      </c>
      <c r="B69" s="35"/>
      <c r="C69" s="37">
        <f>C49</f>
        <v>1.0806604996974152</v>
      </c>
      <c r="D69" s="19">
        <f t="shared" si="8"/>
        <v>204766.05540846981</v>
      </c>
      <c r="E69" s="4">
        <f t="shared" si="9"/>
        <v>18.440215646565466</v>
      </c>
      <c r="G69" s="38"/>
    </row>
    <row r="70" spans="1:7" ht="15.75" x14ac:dyDescent="0.25">
      <c r="A70" s="36" t="s">
        <v>136</v>
      </c>
      <c r="B70" s="35"/>
      <c r="C70" s="37">
        <f>C50</f>
        <v>1.0408318328007744</v>
      </c>
      <c r="D70" s="19">
        <f t="shared" si="8"/>
        <v>204766.05540846981</v>
      </c>
      <c r="E70" s="4">
        <f t="shared" si="9"/>
        <v>17.760585728848547</v>
      </c>
      <c r="G70" s="38"/>
    </row>
    <row r="71" spans="1:7" ht="15.75" x14ac:dyDescent="0.25">
      <c r="A71" s="36" t="s">
        <v>137</v>
      </c>
      <c r="B71" s="35"/>
      <c r="C71" s="37">
        <f>C51</f>
        <v>1.0155892956888235</v>
      </c>
      <c r="D71" s="19">
        <f t="shared" si="8"/>
        <v>204766.05540846981</v>
      </c>
      <c r="E71" s="4">
        <f t="shared" si="9"/>
        <v>17.329851166105538</v>
      </c>
      <c r="G71" s="38"/>
    </row>
    <row r="72" spans="1:7" x14ac:dyDescent="0.2">
      <c r="C72" s="35"/>
      <c r="G72" s="38"/>
    </row>
    <row r="73" spans="1:7" x14ac:dyDescent="0.2">
      <c r="C73" s="35"/>
      <c r="G73" s="38"/>
    </row>
    <row r="74" spans="1:7" x14ac:dyDescent="0.2">
      <c r="A74" s="189" t="s">
        <v>253</v>
      </c>
      <c r="B74" s="190" t="s">
        <v>246</v>
      </c>
      <c r="C74" s="190" t="s">
        <v>247</v>
      </c>
      <c r="D74" s="190" t="s">
        <v>248</v>
      </c>
      <c r="E74" s="190" t="s">
        <v>249</v>
      </c>
      <c r="F74" s="190" t="s">
        <v>250</v>
      </c>
      <c r="G74" s="17"/>
    </row>
    <row r="75" spans="1:7" ht="15.75" x14ac:dyDescent="0.25">
      <c r="A75" s="36" t="s">
        <v>149</v>
      </c>
      <c r="B75" s="35">
        <f t="shared" ref="B75:B87" si="10">B55</f>
        <v>1.7394403555225991E-4</v>
      </c>
      <c r="C75" s="37"/>
      <c r="D75" s="19">
        <f>'WS 3 - Retail Charges'!D18</f>
        <v>819.09748913390911</v>
      </c>
      <c r="F75" s="5">
        <f>+B75*D75/1000</f>
        <v>1.424771227706755E-4</v>
      </c>
      <c r="G75" s="38"/>
    </row>
    <row r="76" spans="1:7" ht="15.75" x14ac:dyDescent="0.25">
      <c r="A76" s="36" t="s">
        <v>150</v>
      </c>
      <c r="B76" s="35">
        <f t="shared" si="10"/>
        <v>1.4989150435554713E-4</v>
      </c>
      <c r="C76" s="37"/>
      <c r="D76" s="19">
        <f t="shared" ref="D76:D91" si="11">+D75</f>
        <v>819.09748913390911</v>
      </c>
      <c r="F76" s="5">
        <f>+B76*D76/1000</f>
        <v>1.2277575486013308E-4</v>
      </c>
      <c r="G76" s="38"/>
    </row>
    <row r="77" spans="1:7" ht="15.75" x14ac:dyDescent="0.25">
      <c r="A77" s="36" t="s">
        <v>151</v>
      </c>
      <c r="B77" s="35"/>
      <c r="C77" s="37">
        <f>C57</f>
        <v>0.66661463680721633</v>
      </c>
      <c r="D77" s="19">
        <f t="shared" si="11"/>
        <v>819.09748913390911</v>
      </c>
      <c r="E77" s="4">
        <f>+C77*D77/12/1000</f>
        <v>4.5501864602391966E-2</v>
      </c>
      <c r="F77" s="5">
        <f ca="1">IF(CELL("contents",B77)=0,+D77*B77,"")</f>
        <v>0</v>
      </c>
      <c r="G77" s="38"/>
    </row>
    <row r="78" spans="1:7" ht="15.75" x14ac:dyDescent="0.25">
      <c r="A78" s="36" t="s">
        <v>152</v>
      </c>
      <c r="B78" s="35"/>
      <c r="C78" s="37">
        <f>C58</f>
        <v>0.64382168367699644</v>
      </c>
      <c r="D78" s="19">
        <f t="shared" si="11"/>
        <v>819.09748913390911</v>
      </c>
      <c r="E78" s="4">
        <f>+C78*D78/12/1000</f>
        <v>4.3946060379149464E-2</v>
      </c>
      <c r="F78" s="5">
        <f ca="1">IF(CELL("contents",B78)=0,+D78*B78,"")</f>
        <v>0</v>
      </c>
      <c r="G78" s="38"/>
    </row>
    <row r="79" spans="1:7" ht="15.75" x14ac:dyDescent="0.25">
      <c r="A79" s="36" t="s">
        <v>153</v>
      </c>
      <c r="B79" s="35"/>
      <c r="C79" s="37">
        <f>C59</f>
        <v>0.64382168367699644</v>
      </c>
      <c r="D79" s="19">
        <f t="shared" si="11"/>
        <v>819.09748913390911</v>
      </c>
      <c r="E79" s="4">
        <f>+C79*D79/12/1000</f>
        <v>4.3946060379149464E-2</v>
      </c>
      <c r="F79" s="5">
        <f ca="1">IF(CELL("contents",B79)=0,+D79*B79,"")</f>
        <v>0</v>
      </c>
      <c r="G79" s="38"/>
    </row>
    <row r="80" spans="1:7" ht="15.75" x14ac:dyDescent="0.25">
      <c r="A80" s="36" t="s">
        <v>154</v>
      </c>
      <c r="B80" s="35"/>
      <c r="C80" s="37">
        <f>C60</f>
        <v>0.62009308492911452</v>
      </c>
      <c r="D80" s="19">
        <f t="shared" si="11"/>
        <v>819.09748913390911</v>
      </c>
      <c r="E80" s="4">
        <f>+C80*D80/12/1000</f>
        <v>4.2326390741228133E-2</v>
      </c>
      <c r="F80" s="5">
        <f ca="1">IF(CELL("contents",B80)=0,+D80*B80,"")</f>
        <v>0</v>
      </c>
      <c r="G80" s="38"/>
    </row>
    <row r="81" spans="1:7" ht="15.75" x14ac:dyDescent="0.25">
      <c r="A81" s="36" t="s">
        <v>130</v>
      </c>
      <c r="B81" s="35"/>
      <c r="C81" s="37">
        <f>C61</f>
        <v>0.19180959359540892</v>
      </c>
      <c r="D81" s="19">
        <f t="shared" si="11"/>
        <v>819.09748913390911</v>
      </c>
      <c r="E81" s="4">
        <f>+C81*D81/12/1000</f>
        <v>1.309256304214958E-2</v>
      </c>
      <c r="F81" s="5">
        <f ca="1">IF(CELL("contents",B81)=0,+D81*B81,"")</f>
        <v>0</v>
      </c>
      <c r="G81" s="38"/>
    </row>
    <row r="82" spans="1:7" ht="15.75" x14ac:dyDescent="0.25">
      <c r="A82" s="36" t="s">
        <v>131</v>
      </c>
      <c r="B82" s="35">
        <f t="shared" si="10"/>
        <v>0</v>
      </c>
      <c r="C82" s="37"/>
      <c r="D82" s="19">
        <f t="shared" si="11"/>
        <v>819.09748913390911</v>
      </c>
      <c r="G82" s="17"/>
    </row>
    <row r="83" spans="1:7" ht="15.75" x14ac:dyDescent="0.25">
      <c r="A83" s="36" t="s">
        <v>155</v>
      </c>
      <c r="B83" s="35">
        <f t="shared" si="10"/>
        <v>7.3061897319228033E-5</v>
      </c>
      <c r="C83" s="37"/>
      <c r="D83" s="19">
        <f t="shared" si="11"/>
        <v>819.09748913390911</v>
      </c>
      <c r="F83" s="5">
        <f>+B83*D83/1000</f>
        <v>5.9844816645539168E-5</v>
      </c>
      <c r="G83" s="38"/>
    </row>
    <row r="84" spans="1:7" ht="15.75" x14ac:dyDescent="0.25">
      <c r="A84" s="36" t="s">
        <v>156</v>
      </c>
      <c r="B84" s="35">
        <f t="shared" si="10"/>
        <v>7.3061897319228033E-5</v>
      </c>
      <c r="C84" s="37"/>
      <c r="D84" s="19">
        <f t="shared" si="11"/>
        <v>819.09748913390911</v>
      </c>
      <c r="F84" s="5">
        <f>+B84*D84/1000</f>
        <v>5.9844816645539168E-5</v>
      </c>
      <c r="G84" s="38"/>
    </row>
    <row r="85" spans="1:7" ht="15.75" x14ac:dyDescent="0.25">
      <c r="A85" s="36" t="s">
        <v>157</v>
      </c>
      <c r="B85" s="35">
        <f t="shared" si="10"/>
        <v>1.3737589605179807E-4</v>
      </c>
      <c r="C85" s="37">
        <f>+C65</f>
        <v>0</v>
      </c>
      <c r="D85" s="19">
        <f t="shared" si="11"/>
        <v>819.09748913390911</v>
      </c>
      <c r="E85" s="4">
        <f t="shared" ref="E85:E91" si="12">+C85*D85/12/1000</f>
        <v>0</v>
      </c>
      <c r="F85" s="5">
        <f>+B85*D85/1000</f>
        <v>1.125242515235487E-4</v>
      </c>
      <c r="G85" s="38"/>
    </row>
    <row r="86" spans="1:7" ht="15.75" x14ac:dyDescent="0.25">
      <c r="A86" s="36" t="s">
        <v>158</v>
      </c>
      <c r="B86" s="35">
        <f t="shared" si="10"/>
        <v>1.3302783750543767E-4</v>
      </c>
      <c r="C86" s="37">
        <f>+C66</f>
        <v>0</v>
      </c>
      <c r="D86" s="19">
        <f t="shared" si="11"/>
        <v>819.09748913390911</v>
      </c>
      <c r="E86" s="4">
        <f t="shared" si="12"/>
        <v>0</v>
      </c>
      <c r="F86" s="5">
        <f>+B86*D86/1000</f>
        <v>1.0896276768561766E-4</v>
      </c>
      <c r="G86" s="38"/>
    </row>
    <row r="87" spans="1:7" ht="15.75" x14ac:dyDescent="0.25">
      <c r="A87" s="36" t="s">
        <v>159</v>
      </c>
      <c r="B87" s="35">
        <f t="shared" si="10"/>
        <v>1.2895586413483337E-4</v>
      </c>
      <c r="C87" s="37">
        <f>+C67</f>
        <v>0</v>
      </c>
      <c r="D87" s="19">
        <f t="shared" si="11"/>
        <v>819.09748913390911</v>
      </c>
      <c r="E87" s="4">
        <f t="shared" si="12"/>
        <v>0</v>
      </c>
      <c r="F87" s="5">
        <f>+B87*D87/1000</f>
        <v>1.0562742452193553E-4</v>
      </c>
      <c r="G87" s="38"/>
    </row>
    <row r="88" spans="1:7" ht="15.75" x14ac:dyDescent="0.25">
      <c r="A88" s="36" t="s">
        <v>134</v>
      </c>
      <c r="B88" s="35"/>
      <c r="C88" s="37">
        <f>C68</f>
        <v>1.1189186769905564</v>
      </c>
      <c r="D88" s="19">
        <f t="shared" si="11"/>
        <v>819.09748913390911</v>
      </c>
      <c r="E88" s="4">
        <f t="shared" si="12"/>
        <v>7.6375289905666693E-2</v>
      </c>
      <c r="G88" s="38"/>
    </row>
    <row r="89" spans="1:7" ht="15.75" x14ac:dyDescent="0.25">
      <c r="A89" s="36" t="s">
        <v>135</v>
      </c>
      <c r="B89" s="35"/>
      <c r="C89" s="37">
        <f>C69</f>
        <v>1.0806604996974152</v>
      </c>
      <c r="D89" s="19">
        <f t="shared" si="11"/>
        <v>819.09748913390911</v>
      </c>
      <c r="E89" s="4">
        <f t="shared" si="12"/>
        <v>7.3763858492362361E-2</v>
      </c>
      <c r="G89" s="38"/>
    </row>
    <row r="90" spans="1:7" ht="15.75" x14ac:dyDescent="0.25">
      <c r="A90" s="36" t="s">
        <v>136</v>
      </c>
      <c r="B90" s="35"/>
      <c r="C90" s="37">
        <f>C70</f>
        <v>1.0408318328007744</v>
      </c>
      <c r="D90" s="19">
        <f t="shared" si="11"/>
        <v>819.09748913390911</v>
      </c>
      <c r="E90" s="4">
        <f t="shared" si="12"/>
        <v>7.104522840481324E-2</v>
      </c>
      <c r="G90" s="38"/>
    </row>
    <row r="91" spans="1:7" ht="15.75" x14ac:dyDescent="0.25">
      <c r="A91" s="36" t="s">
        <v>137</v>
      </c>
      <c r="B91" s="35"/>
      <c r="C91" s="37">
        <f>C71</f>
        <v>1.0155892956888235</v>
      </c>
      <c r="D91" s="19">
        <f t="shared" si="11"/>
        <v>819.09748913390911</v>
      </c>
      <c r="E91" s="4">
        <f t="shared" si="12"/>
        <v>6.932222017416588E-2</v>
      </c>
      <c r="G91" s="38"/>
    </row>
    <row r="92" spans="1:7" x14ac:dyDescent="0.2">
      <c r="C92" s="35"/>
      <c r="G92" s="38"/>
    </row>
    <row r="93" spans="1:7" x14ac:dyDescent="0.2">
      <c r="C93" s="35"/>
      <c r="G93" s="38"/>
    </row>
    <row r="94" spans="1:7" x14ac:dyDescent="0.2">
      <c r="A94" s="189" t="s">
        <v>254</v>
      </c>
      <c r="B94" s="190" t="s">
        <v>246</v>
      </c>
      <c r="C94" s="190" t="s">
        <v>247</v>
      </c>
      <c r="D94" s="190" t="s">
        <v>248</v>
      </c>
      <c r="E94" s="190" t="s">
        <v>249</v>
      </c>
      <c r="F94" s="190" t="s">
        <v>250</v>
      </c>
      <c r="G94" s="17"/>
    </row>
    <row r="95" spans="1:7" x14ac:dyDescent="0.2">
      <c r="A95" s="36" t="s">
        <v>149</v>
      </c>
      <c r="B95" s="39">
        <f>B75</f>
        <v>1.7394403555225991E-4</v>
      </c>
      <c r="C95" s="35"/>
      <c r="F95" s="5">
        <f>+B95*D95/1000</f>
        <v>0</v>
      </c>
      <c r="G95" s="38"/>
    </row>
    <row r="96" spans="1:7" x14ac:dyDescent="0.2">
      <c r="A96" s="36" t="s">
        <v>150</v>
      </c>
      <c r="B96" s="39">
        <f>B76</f>
        <v>1.4989150435554713E-4</v>
      </c>
      <c r="C96" s="35"/>
      <c r="D96" s="4">
        <f>D95</f>
        <v>0</v>
      </c>
      <c r="F96" s="5">
        <f>+B96*D96/1000</f>
        <v>0</v>
      </c>
      <c r="G96" s="17"/>
    </row>
    <row r="97" spans="1:7" x14ac:dyDescent="0.2">
      <c r="A97" s="36" t="s">
        <v>151</v>
      </c>
      <c r="B97" s="39"/>
      <c r="C97" s="35">
        <f>C77</f>
        <v>0.66661463680721633</v>
      </c>
      <c r="D97" s="4">
        <f t="shared" ref="D97:D111" si="13">D96</f>
        <v>0</v>
      </c>
      <c r="E97" s="4">
        <f>+C97*D97/12/1000</f>
        <v>0</v>
      </c>
      <c r="G97" s="17"/>
    </row>
    <row r="98" spans="1:7" x14ac:dyDescent="0.2">
      <c r="A98" s="36" t="s">
        <v>152</v>
      </c>
      <c r="B98" s="39"/>
      <c r="C98" s="35">
        <f>C78</f>
        <v>0.64382168367699644</v>
      </c>
      <c r="D98" s="4">
        <f t="shared" si="13"/>
        <v>0</v>
      </c>
      <c r="E98" s="4">
        <f>+C98*D98/12/1000</f>
        <v>0</v>
      </c>
      <c r="G98" s="17"/>
    </row>
    <row r="99" spans="1:7" x14ac:dyDescent="0.2">
      <c r="A99" s="36" t="s">
        <v>153</v>
      </c>
      <c r="B99" s="39"/>
      <c r="C99" s="35">
        <f>C79</f>
        <v>0.64382168367699644</v>
      </c>
      <c r="D99" s="4">
        <f t="shared" si="13"/>
        <v>0</v>
      </c>
      <c r="E99" s="4">
        <f>+C99*D99/12/1000</f>
        <v>0</v>
      </c>
      <c r="G99" s="17"/>
    </row>
    <row r="100" spans="1:7" x14ac:dyDescent="0.2">
      <c r="A100" s="36" t="s">
        <v>154</v>
      </c>
      <c r="B100" s="39"/>
      <c r="C100" s="35">
        <f>C80</f>
        <v>0.62009308492911452</v>
      </c>
      <c r="D100" s="4">
        <f t="shared" si="13"/>
        <v>0</v>
      </c>
      <c r="E100" s="4">
        <f>+C100*D100/12/1000</f>
        <v>0</v>
      </c>
      <c r="G100" s="17"/>
    </row>
    <row r="101" spans="1:7" x14ac:dyDescent="0.2">
      <c r="A101" s="36" t="s">
        <v>130</v>
      </c>
      <c r="B101" s="39"/>
      <c r="C101" s="35">
        <f>C81</f>
        <v>0.19180959359540892</v>
      </c>
      <c r="D101" s="4">
        <f t="shared" si="13"/>
        <v>0</v>
      </c>
      <c r="E101" s="4">
        <f>+C101*D101/12/1000</f>
        <v>0</v>
      </c>
      <c r="G101" s="17"/>
    </row>
    <row r="102" spans="1:7" x14ac:dyDescent="0.2">
      <c r="A102" s="36" t="s">
        <v>131</v>
      </c>
      <c r="B102" s="39"/>
      <c r="C102" s="35"/>
      <c r="D102" s="4">
        <f t="shared" si="13"/>
        <v>0</v>
      </c>
      <c r="G102" s="17"/>
    </row>
    <row r="103" spans="1:7" x14ac:dyDescent="0.2">
      <c r="A103" s="36" t="s">
        <v>155</v>
      </c>
      <c r="B103" s="39">
        <f>B83</f>
        <v>7.3061897319228033E-5</v>
      </c>
      <c r="C103" s="35"/>
      <c r="D103" s="4">
        <f t="shared" si="13"/>
        <v>0</v>
      </c>
      <c r="F103" s="5">
        <f>+B103*D103/1000</f>
        <v>0</v>
      </c>
      <c r="G103" s="17"/>
    </row>
    <row r="104" spans="1:7" x14ac:dyDescent="0.2">
      <c r="A104" s="36" t="s">
        <v>156</v>
      </c>
      <c r="B104" s="39">
        <f>B84</f>
        <v>7.3061897319228033E-5</v>
      </c>
      <c r="C104" s="35"/>
      <c r="D104" s="4">
        <f t="shared" si="13"/>
        <v>0</v>
      </c>
      <c r="F104" s="5">
        <f>+B104*D104/1000</f>
        <v>0</v>
      </c>
      <c r="G104" s="17"/>
    </row>
    <row r="105" spans="1:7" x14ac:dyDescent="0.2">
      <c r="A105" s="36" t="s">
        <v>157</v>
      </c>
      <c r="B105" s="39">
        <f>B85</f>
        <v>1.3737589605179807E-4</v>
      </c>
      <c r="C105" s="35">
        <f t="shared" ref="C105:C111" si="14">C85</f>
        <v>0</v>
      </c>
      <c r="D105" s="4">
        <f t="shared" si="13"/>
        <v>0</v>
      </c>
      <c r="E105" s="4">
        <f t="shared" ref="E105:E111" si="15">+C105*D105/12/1000</f>
        <v>0</v>
      </c>
      <c r="F105" s="5">
        <f>+B105*D105/1000</f>
        <v>0</v>
      </c>
      <c r="G105" s="17"/>
    </row>
    <row r="106" spans="1:7" x14ac:dyDescent="0.2">
      <c r="A106" s="36" t="s">
        <v>158</v>
      </c>
      <c r="B106" s="39">
        <f>B86</f>
        <v>1.3302783750543767E-4</v>
      </c>
      <c r="C106" s="35">
        <f t="shared" si="14"/>
        <v>0</v>
      </c>
      <c r="D106" s="4">
        <f t="shared" si="13"/>
        <v>0</v>
      </c>
      <c r="E106" s="4">
        <f t="shared" si="15"/>
        <v>0</v>
      </c>
      <c r="F106" s="5">
        <f>+B106*D106/1000</f>
        <v>0</v>
      </c>
      <c r="G106" s="17"/>
    </row>
    <row r="107" spans="1:7" x14ac:dyDescent="0.2">
      <c r="A107" s="36" t="s">
        <v>159</v>
      </c>
      <c r="B107" s="39">
        <f>B87</f>
        <v>1.2895586413483337E-4</v>
      </c>
      <c r="C107" s="35">
        <f t="shared" si="14"/>
        <v>0</v>
      </c>
      <c r="D107" s="4">
        <f t="shared" si="13"/>
        <v>0</v>
      </c>
      <c r="E107" s="4">
        <f t="shared" si="15"/>
        <v>0</v>
      </c>
      <c r="F107" s="5">
        <f>+B107*D107/1000</f>
        <v>0</v>
      </c>
      <c r="G107" s="17"/>
    </row>
    <row r="108" spans="1:7" x14ac:dyDescent="0.2">
      <c r="A108" s="36" t="s">
        <v>134</v>
      </c>
      <c r="B108" s="39"/>
      <c r="C108" s="35">
        <f t="shared" si="14"/>
        <v>1.1189186769905564</v>
      </c>
      <c r="D108" s="4">
        <f t="shared" si="13"/>
        <v>0</v>
      </c>
      <c r="E108" s="4">
        <f t="shared" si="15"/>
        <v>0</v>
      </c>
      <c r="G108" s="17"/>
    </row>
    <row r="109" spans="1:7" x14ac:dyDescent="0.2">
      <c r="A109" s="36" t="s">
        <v>135</v>
      </c>
      <c r="B109" s="39"/>
      <c r="C109" s="35">
        <f t="shared" si="14"/>
        <v>1.0806604996974152</v>
      </c>
      <c r="D109" s="4">
        <f t="shared" si="13"/>
        <v>0</v>
      </c>
      <c r="E109" s="4">
        <f t="shared" si="15"/>
        <v>0</v>
      </c>
      <c r="G109" s="17"/>
    </row>
    <row r="110" spans="1:7" x14ac:dyDescent="0.2">
      <c r="A110" s="36" t="s">
        <v>136</v>
      </c>
      <c r="B110" s="39"/>
      <c r="C110" s="35">
        <f t="shared" si="14"/>
        <v>1.0408318328007744</v>
      </c>
      <c r="D110" s="4">
        <f t="shared" si="13"/>
        <v>0</v>
      </c>
      <c r="E110" s="4">
        <f t="shared" si="15"/>
        <v>0</v>
      </c>
      <c r="G110" s="17"/>
    </row>
    <row r="111" spans="1:7" x14ac:dyDescent="0.2">
      <c r="A111" s="36" t="s">
        <v>137</v>
      </c>
      <c r="B111" s="39"/>
      <c r="C111" s="35">
        <f t="shared" si="14"/>
        <v>1.0155892956888235</v>
      </c>
      <c r="D111" s="4">
        <f t="shared" si="13"/>
        <v>0</v>
      </c>
      <c r="E111" s="4">
        <f t="shared" si="15"/>
        <v>0</v>
      </c>
      <c r="G111" s="17"/>
    </row>
    <row r="112" spans="1:7" x14ac:dyDescent="0.2">
      <c r="C112" s="35"/>
      <c r="G112" s="17"/>
    </row>
    <row r="113" spans="1:11" x14ac:dyDescent="0.2">
      <c r="C113" s="35"/>
      <c r="G113" s="17"/>
    </row>
    <row r="114" spans="1:11" x14ac:dyDescent="0.2">
      <c r="A114" s="189" t="s">
        <v>255</v>
      </c>
      <c r="B114" s="190" t="s">
        <v>246</v>
      </c>
      <c r="C114" s="190" t="s">
        <v>247</v>
      </c>
      <c r="D114" s="190" t="s">
        <v>248</v>
      </c>
      <c r="E114" s="190" t="s">
        <v>249</v>
      </c>
      <c r="F114" s="190" t="s">
        <v>250</v>
      </c>
      <c r="G114" s="17"/>
    </row>
    <row r="115" spans="1:11" x14ac:dyDescent="0.2">
      <c r="A115" s="36" t="s">
        <v>149</v>
      </c>
      <c r="C115" s="35"/>
      <c r="D115" s="4">
        <f>+D15+D55+D35+D75+D95</f>
        <v>324583.96931985125</v>
      </c>
      <c r="E115" s="40">
        <f>+E15+E35+E55+E75+E95</f>
        <v>0</v>
      </c>
      <c r="F115" s="41">
        <f>ROUND(+F15+F35+F55+F75+F95,5)</f>
        <v>5.6460000000000003E-2</v>
      </c>
      <c r="G115" s="42"/>
      <c r="H115" s="43"/>
      <c r="J115" s="29"/>
      <c r="K115" s="43"/>
    </row>
    <row r="116" spans="1:11" x14ac:dyDescent="0.2">
      <c r="A116" s="36" t="s">
        <v>150</v>
      </c>
      <c r="C116" s="35"/>
      <c r="D116" s="4">
        <f t="shared" ref="D116:D131" si="16">D115</f>
        <v>324583.96931985125</v>
      </c>
      <c r="E116" s="40">
        <f>+E16+E36+E56+E76+E96</f>
        <v>0</v>
      </c>
      <c r="F116" s="41">
        <f>ROUND(+F16+F36+F56+F76+F96,5)</f>
        <v>4.8649999999999999E-2</v>
      </c>
      <c r="G116" s="42"/>
      <c r="H116" s="43"/>
      <c r="J116" s="29"/>
      <c r="K116" s="43"/>
    </row>
    <row r="117" spans="1:11" x14ac:dyDescent="0.2">
      <c r="A117" s="36" t="s">
        <v>151</v>
      </c>
      <c r="C117" s="35"/>
      <c r="D117" s="4">
        <f t="shared" si="16"/>
        <v>324583.96931985125</v>
      </c>
      <c r="E117" s="40">
        <f>ROUND(+E17+E37+E57+E77+E97,2)</f>
        <v>18.03</v>
      </c>
      <c r="F117" s="41">
        <f t="shared" ref="F117:F122" ca="1" si="17">+F17+F37+F57+F77+F97</f>
        <v>0</v>
      </c>
      <c r="G117" s="42"/>
      <c r="H117" s="43"/>
      <c r="J117" s="29"/>
      <c r="K117" s="43"/>
    </row>
    <row r="118" spans="1:11" x14ac:dyDescent="0.2">
      <c r="A118" s="36" t="s">
        <v>152</v>
      </c>
      <c r="C118" s="35"/>
      <c r="D118" s="4">
        <f t="shared" si="16"/>
        <v>324583.96931985125</v>
      </c>
      <c r="E118" s="40">
        <f>ROUND(+E18+E38+E58+E78+E98,2)</f>
        <v>17.41</v>
      </c>
      <c r="F118" s="41">
        <f t="shared" ca="1" si="17"/>
        <v>0</v>
      </c>
      <c r="G118" s="42"/>
      <c r="H118" s="43"/>
      <c r="J118" s="29"/>
      <c r="K118" s="43"/>
    </row>
    <row r="119" spans="1:11" x14ac:dyDescent="0.2">
      <c r="A119" s="36" t="s">
        <v>153</v>
      </c>
      <c r="C119" s="35"/>
      <c r="D119" s="4">
        <f t="shared" si="16"/>
        <v>324583.96931985125</v>
      </c>
      <c r="E119" s="40">
        <f>ROUND(+E19+E39+E59+E79+E99,2)</f>
        <v>17.41</v>
      </c>
      <c r="F119" s="41">
        <f t="shared" ca="1" si="17"/>
        <v>0</v>
      </c>
      <c r="G119" s="42"/>
      <c r="H119" s="43"/>
      <c r="J119" s="29"/>
      <c r="K119" s="43"/>
    </row>
    <row r="120" spans="1:11" x14ac:dyDescent="0.2">
      <c r="A120" s="36" t="s">
        <v>154</v>
      </c>
      <c r="C120" s="35"/>
      <c r="D120" s="4">
        <f t="shared" si="16"/>
        <v>324583.96931985125</v>
      </c>
      <c r="E120" s="40">
        <f>ROUND(+E20+E40+E60+E80+E100,2)</f>
        <v>16.77</v>
      </c>
      <c r="F120" s="41">
        <f t="shared" ca="1" si="17"/>
        <v>0</v>
      </c>
      <c r="G120" s="42"/>
    </row>
    <row r="121" spans="1:11" x14ac:dyDescent="0.2">
      <c r="A121" s="36" t="s">
        <v>130</v>
      </c>
      <c r="C121" s="35"/>
      <c r="D121" s="4">
        <f t="shared" si="16"/>
        <v>324583.96931985125</v>
      </c>
      <c r="E121" s="40">
        <f>ROUND(+E21+E41+E61+E81+E101,2)</f>
        <v>5.19</v>
      </c>
      <c r="F121" s="41">
        <f t="shared" ca="1" si="17"/>
        <v>0</v>
      </c>
      <c r="G121" s="42"/>
      <c r="H121" s="43"/>
      <c r="J121" s="44"/>
      <c r="K121" s="43"/>
    </row>
    <row r="122" spans="1:11" x14ac:dyDescent="0.2">
      <c r="A122" s="36" t="s">
        <v>131</v>
      </c>
      <c r="C122" s="35"/>
      <c r="D122" s="4">
        <f t="shared" si="16"/>
        <v>324583.96931985125</v>
      </c>
      <c r="E122" s="40">
        <f>+E22+E42+E62+E82+E102</f>
        <v>0</v>
      </c>
      <c r="F122" s="41">
        <f t="shared" si="17"/>
        <v>0</v>
      </c>
      <c r="G122" s="42"/>
      <c r="H122" s="43"/>
      <c r="J122" s="44"/>
      <c r="K122" s="43"/>
    </row>
    <row r="123" spans="1:11" x14ac:dyDescent="0.2">
      <c r="A123" s="36" t="s">
        <v>155</v>
      </c>
      <c r="C123" s="35"/>
      <c r="D123" s="4">
        <f t="shared" si="16"/>
        <v>324583.96931985125</v>
      </c>
      <c r="E123" s="40">
        <f>+E23+E43+E63+E83+E103</f>
        <v>0</v>
      </c>
      <c r="F123" s="41">
        <f>ROUND(+F23+F43+F63+F83+F103,5)</f>
        <v>2.3709999999999998E-2</v>
      </c>
      <c r="G123" s="42"/>
      <c r="H123" s="43"/>
      <c r="J123" s="44"/>
      <c r="K123" s="43"/>
    </row>
    <row r="124" spans="1:11" x14ac:dyDescent="0.2">
      <c r="A124" s="36" t="s">
        <v>156</v>
      </c>
      <c r="C124" s="35"/>
      <c r="D124" s="4">
        <f t="shared" si="16"/>
        <v>324583.96931985125</v>
      </c>
      <c r="E124" s="40">
        <f>+E24+E44+E64+E84+E104</f>
        <v>0</v>
      </c>
      <c r="F124" s="41">
        <f>ROUND(+F24+F44+F64+F84+F104,5)</f>
        <v>2.3709999999999998E-2</v>
      </c>
      <c r="G124" s="42"/>
      <c r="H124" s="43"/>
      <c r="J124" s="44"/>
      <c r="K124" s="43"/>
    </row>
    <row r="125" spans="1:11" x14ac:dyDescent="0.2">
      <c r="A125" s="36" t="s">
        <v>157</v>
      </c>
      <c r="C125" s="35"/>
      <c r="D125" s="4">
        <f t="shared" si="16"/>
        <v>324583.96931985125</v>
      </c>
      <c r="E125" s="40">
        <f t="shared" ref="E125:E131" si="18">ROUND(+E25+E45+E65+E85+E105,2)</f>
        <v>0</v>
      </c>
      <c r="F125" s="41">
        <f>ROUND(+F25+F45+F65+F85+F105,5)</f>
        <v>4.4589999999999998E-2</v>
      </c>
      <c r="G125" s="42"/>
      <c r="H125" s="43"/>
      <c r="J125" s="44"/>
      <c r="K125" s="43"/>
    </row>
    <row r="126" spans="1:11" x14ac:dyDescent="0.2">
      <c r="A126" s="36" t="s">
        <v>158</v>
      </c>
      <c r="C126" s="35"/>
      <c r="D126" s="4">
        <f t="shared" si="16"/>
        <v>324583.96931985125</v>
      </c>
      <c r="E126" s="40">
        <f t="shared" si="18"/>
        <v>0</v>
      </c>
      <c r="F126" s="41">
        <f>ROUND(+F26+F46+F66+F86+F106,5)</f>
        <v>4.3180000000000003E-2</v>
      </c>
      <c r="G126" s="42"/>
      <c r="H126" s="43"/>
      <c r="J126" s="44"/>
      <c r="K126" s="43"/>
    </row>
    <row r="127" spans="1:11" x14ac:dyDescent="0.2">
      <c r="A127" s="36" t="s">
        <v>159</v>
      </c>
      <c r="C127" s="35"/>
      <c r="D127" s="4">
        <f t="shared" si="16"/>
        <v>324583.96931985125</v>
      </c>
      <c r="E127" s="40">
        <f t="shared" si="18"/>
        <v>0</v>
      </c>
      <c r="F127" s="41">
        <f>ROUND(+F27+F47+F67+F87+F107,5)</f>
        <v>4.1860000000000001E-2</v>
      </c>
      <c r="G127" s="42"/>
      <c r="H127" s="43"/>
      <c r="J127" s="44"/>
      <c r="K127" s="43"/>
    </row>
    <row r="128" spans="1:11" x14ac:dyDescent="0.2">
      <c r="A128" s="36" t="s">
        <v>134</v>
      </c>
      <c r="C128" s="35"/>
      <c r="D128" s="4">
        <f t="shared" si="16"/>
        <v>324583.96931985125</v>
      </c>
      <c r="E128" s="40">
        <f t="shared" si="18"/>
        <v>30.27</v>
      </c>
      <c r="F128" s="41">
        <f>+F28+F48+F68+F88+F108</f>
        <v>0</v>
      </c>
      <c r="G128" s="42"/>
      <c r="H128" s="43"/>
      <c r="J128" s="44"/>
      <c r="K128" s="43"/>
    </row>
    <row r="129" spans="1:11" x14ac:dyDescent="0.2">
      <c r="A129" s="36" t="s">
        <v>135</v>
      </c>
      <c r="C129" s="35"/>
      <c r="D129" s="4">
        <f t="shared" si="16"/>
        <v>324583.96931985125</v>
      </c>
      <c r="E129" s="40">
        <f t="shared" si="18"/>
        <v>29.23</v>
      </c>
      <c r="F129" s="41">
        <f>+F29+F49+F69+F89+F109</f>
        <v>0</v>
      </c>
      <c r="G129" s="42"/>
      <c r="H129" s="43"/>
      <c r="J129" s="44"/>
      <c r="K129" s="43"/>
    </row>
    <row r="130" spans="1:11" x14ac:dyDescent="0.2">
      <c r="A130" s="36" t="s">
        <v>136</v>
      </c>
      <c r="C130" s="35"/>
      <c r="D130" s="4">
        <f t="shared" si="16"/>
        <v>324583.96931985125</v>
      </c>
      <c r="E130" s="40">
        <f t="shared" si="18"/>
        <v>28.15</v>
      </c>
      <c r="F130" s="41">
        <f>+F30+F50+F70+F90+F110</f>
        <v>0</v>
      </c>
      <c r="G130" s="42"/>
      <c r="H130" s="38"/>
      <c r="K130" s="38"/>
    </row>
    <row r="131" spans="1:11" x14ac:dyDescent="0.2">
      <c r="A131" s="36" t="s">
        <v>137</v>
      </c>
      <c r="C131" s="35"/>
      <c r="D131" s="4">
        <f t="shared" si="16"/>
        <v>324583.96931985125</v>
      </c>
      <c r="E131" s="40">
        <f t="shared" si="18"/>
        <v>27.47</v>
      </c>
      <c r="F131" s="41">
        <f>+F31+F51+F71+F91+F111</f>
        <v>0</v>
      </c>
      <c r="G131" s="2"/>
    </row>
    <row r="132" spans="1:11" x14ac:dyDescent="0.2">
      <c r="E132" s="40"/>
      <c r="F132" s="41"/>
      <c r="G132" s="29"/>
    </row>
  </sheetData>
  <mergeCells count="1">
    <mergeCell ref="E9:F9"/>
  </mergeCells>
  <pageMargins left="0.5" right="0.5" top="0.5" bottom="0.5" header="0.5" footer="0.5"/>
  <pageSetup paperSize="5" scale="4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7DF7-0EA2-4ABA-A25F-7B56278E0206}">
  <sheetPr>
    <pageSetUpPr fitToPage="1"/>
  </sheetPr>
  <dimension ref="A1:R36"/>
  <sheetViews>
    <sheetView zoomScale="70" zoomScaleNormal="70" zoomScalePageLayoutView="85" workbookViewId="0">
      <selection activeCell="G9" sqref="G9"/>
    </sheetView>
  </sheetViews>
  <sheetFormatPr defaultRowHeight="15" x14ac:dyDescent="0.2"/>
  <cols>
    <col min="1" max="1" width="4.6640625" customWidth="1"/>
    <col min="2" max="2" width="42.5546875" customWidth="1"/>
    <col min="4" max="4" width="14" customWidth="1"/>
    <col min="5" max="6" width="14.44140625" customWidth="1"/>
    <col min="7" max="7" width="14" customWidth="1"/>
    <col min="8" max="8" width="13.5546875" customWidth="1"/>
    <col min="9" max="9" width="14" customWidth="1"/>
    <col min="10" max="10" width="13.5546875" customWidth="1"/>
    <col min="11" max="11" width="14" customWidth="1"/>
    <col min="12" max="12" width="14.44140625" customWidth="1"/>
    <col min="13" max="13" width="14" customWidth="1"/>
    <col min="14" max="15" width="14.44140625" customWidth="1"/>
    <col min="16" max="16" width="15.88671875" customWidth="1"/>
    <col min="18" max="18" width="11.88671875" customWidth="1"/>
  </cols>
  <sheetData>
    <row r="1" spans="1:18" x14ac:dyDescent="0.2">
      <c r="A1" s="249" t="str">
        <f>'WS 1 - Wholesale Charges'!A1:P1</f>
        <v>Versant Power - Bangor Hydro District (BHD)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8" x14ac:dyDescent="0.2">
      <c r="A2" s="249" t="str">
        <f>'WS 1 - Wholesale Charges'!A2:P2</f>
        <v>Attachment 2 - Calculations in Support of Schedule 21-VP Rates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8" x14ac:dyDescent="0.2">
      <c r="A3" s="249" t="str">
        <f>'WS 1 - Wholesale Charges'!A3:P3</f>
        <v>Jan 1, 2025 through Dec 31, 2025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8" x14ac:dyDescent="0.2">
      <c r="A4" s="249" t="s">
        <v>256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8" x14ac:dyDescent="0.2">
      <c r="A5" s="249" t="s">
        <v>257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1:18" x14ac:dyDescent="0.2">
      <c r="A6" s="249" t="str">
        <f>'WS 1 - Wholesale Charges'!A6:P6</f>
        <v>Implemented Charges Based on 2023 Data and Certain Forecasts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8" spans="1:18" ht="15.75" x14ac:dyDescent="0.25">
      <c r="A8" s="1" t="s">
        <v>22</v>
      </c>
      <c r="C8" s="12"/>
      <c r="D8" s="214">
        <v>44927</v>
      </c>
      <c r="E8" s="214">
        <f>+D8+32</f>
        <v>44959</v>
      </c>
      <c r="F8" s="214">
        <f t="shared" ref="F8:O8" si="0">+E8+32</f>
        <v>44991</v>
      </c>
      <c r="G8" s="214">
        <f t="shared" si="0"/>
        <v>45023</v>
      </c>
      <c r="H8" s="214">
        <f t="shared" si="0"/>
        <v>45055</v>
      </c>
      <c r="I8" s="214">
        <f t="shared" si="0"/>
        <v>45087</v>
      </c>
      <c r="J8" s="214">
        <f t="shared" si="0"/>
        <v>45119</v>
      </c>
      <c r="K8" s="214">
        <f t="shared" si="0"/>
        <v>45151</v>
      </c>
      <c r="L8" s="214">
        <f t="shared" si="0"/>
        <v>45183</v>
      </c>
      <c r="M8" s="214">
        <f t="shared" si="0"/>
        <v>45215</v>
      </c>
      <c r="N8" s="214">
        <f t="shared" si="0"/>
        <v>45247</v>
      </c>
      <c r="O8" s="214">
        <f t="shared" si="0"/>
        <v>45279</v>
      </c>
      <c r="P8" s="12" t="s">
        <v>258</v>
      </c>
      <c r="Q8" s="12"/>
      <c r="R8" s="182" t="s">
        <v>29</v>
      </c>
    </row>
    <row r="9" spans="1:18" ht="15.75" x14ac:dyDescent="0.25">
      <c r="A9" s="186">
        <v>1</v>
      </c>
      <c r="B9" s="215" t="s">
        <v>259</v>
      </c>
      <c r="C9" s="216"/>
      <c r="D9" s="217">
        <v>68439476.479000032</v>
      </c>
      <c r="E9" s="217">
        <v>62097840.597000003</v>
      </c>
      <c r="F9" s="217">
        <v>68494665.986999914</v>
      </c>
      <c r="G9" s="217">
        <v>50780359.868000001</v>
      </c>
      <c r="H9" s="217">
        <v>49927337.889000036</v>
      </c>
      <c r="I9" s="217">
        <v>48513185.395000026</v>
      </c>
      <c r="J9" s="217">
        <v>54060212.858000368</v>
      </c>
      <c r="K9" s="217">
        <v>59316081.909000009</v>
      </c>
      <c r="L9" s="217">
        <v>52456892.182000011</v>
      </c>
      <c r="M9" s="217">
        <v>48687169.96100004</v>
      </c>
      <c r="N9" s="217">
        <v>47837982.381999992</v>
      </c>
      <c r="O9" s="217">
        <v>61642808.357000023</v>
      </c>
      <c r="P9" s="217">
        <f>SUM(D9:O9)</f>
        <v>672254013.86400056</v>
      </c>
      <c r="Q9" s="218"/>
      <c r="R9" s="144" t="s">
        <v>128</v>
      </c>
    </row>
    <row r="10" spans="1:18" ht="15.75" x14ac:dyDescent="0.25">
      <c r="A10" s="186">
        <v>2</v>
      </c>
      <c r="B10" s="215" t="s">
        <v>260</v>
      </c>
      <c r="C10" s="216"/>
      <c r="D10" s="217">
        <v>14957275.436000001</v>
      </c>
      <c r="E10" s="217">
        <v>13925905.021</v>
      </c>
      <c r="F10" s="217">
        <v>15535041.414999999</v>
      </c>
      <c r="G10" s="217">
        <v>12113312.146</v>
      </c>
      <c r="H10" s="217">
        <v>12154955.209000001</v>
      </c>
      <c r="I10" s="217">
        <v>12366533.319999998</v>
      </c>
      <c r="J10" s="217">
        <v>13382524.999000037</v>
      </c>
      <c r="K10" s="217">
        <v>14385701.634000001</v>
      </c>
      <c r="L10" s="217">
        <v>13502434.608000001</v>
      </c>
      <c r="M10" s="217">
        <v>12557001.001999998</v>
      </c>
      <c r="N10" s="217">
        <v>11368520.450000001</v>
      </c>
      <c r="O10" s="217">
        <v>13879232.364000002</v>
      </c>
      <c r="P10" s="217">
        <f>SUM(D10:O10)</f>
        <v>160128437.604</v>
      </c>
      <c r="Q10" s="87"/>
      <c r="R10" s="144" t="str">
        <f>$R$9</f>
        <v>2023 Actual</v>
      </c>
    </row>
    <row r="11" spans="1:18" x14ac:dyDescent="0.2">
      <c r="A11">
        <v>3</v>
      </c>
      <c r="B11" t="s">
        <v>261</v>
      </c>
      <c r="C11" s="17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82"/>
      <c r="R11" s="145"/>
    </row>
    <row r="12" spans="1:18" x14ac:dyDescent="0.2">
      <c r="A12" s="2" t="s">
        <v>6</v>
      </c>
      <c r="B12" s="111" t="s">
        <v>151</v>
      </c>
      <c r="C12" s="17"/>
      <c r="D12" s="217">
        <v>30397397.447000001</v>
      </c>
      <c r="E12" s="217">
        <v>27406174.640999999</v>
      </c>
      <c r="F12" s="217">
        <v>31412667.022999998</v>
      </c>
      <c r="G12" s="217">
        <v>28040792.166000001</v>
      </c>
      <c r="H12" s="217">
        <v>28131970.247000001</v>
      </c>
      <c r="I12" s="217">
        <v>30063736.986000001</v>
      </c>
      <c r="J12" s="217">
        <v>32027703.839999977</v>
      </c>
      <c r="K12" s="217">
        <v>33894186.399000004</v>
      </c>
      <c r="L12" s="217">
        <v>33330842.861000001</v>
      </c>
      <c r="M12" s="217">
        <v>31365264.214000002</v>
      </c>
      <c r="N12" s="217">
        <v>26606118.314000003</v>
      </c>
      <c r="O12" s="217">
        <v>31072037.763000004</v>
      </c>
      <c r="P12" s="217">
        <f>SUM(D12:O12)</f>
        <v>363748891.90100002</v>
      </c>
      <c r="Q12" s="82"/>
      <c r="R12" s="144" t="str">
        <f t="shared" ref="R12:R15" si="1">$R$9</f>
        <v>2023 Actual</v>
      </c>
    </row>
    <row r="13" spans="1:18" x14ac:dyDescent="0.2">
      <c r="A13" s="2" t="s">
        <v>7</v>
      </c>
      <c r="B13" s="113" t="s">
        <v>262</v>
      </c>
      <c r="C13" s="17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82"/>
      <c r="R13" s="144" t="str">
        <f t="shared" si="1"/>
        <v>2023 Actual</v>
      </c>
    </row>
    <row r="14" spans="1:18" x14ac:dyDescent="0.2">
      <c r="A14" s="2" t="s">
        <v>8</v>
      </c>
      <c r="B14" s="111" t="s">
        <v>152</v>
      </c>
      <c r="C14" s="17"/>
      <c r="D14" s="217">
        <v>3687155</v>
      </c>
      <c r="E14" s="217">
        <v>3637393</v>
      </c>
      <c r="F14" s="217">
        <v>4164734</v>
      </c>
      <c r="G14" s="217">
        <v>3900269</v>
      </c>
      <c r="H14" s="217">
        <v>3547870</v>
      </c>
      <c r="I14" s="217">
        <v>3575928</v>
      </c>
      <c r="J14" s="217">
        <v>3716074.0010000002</v>
      </c>
      <c r="K14" s="217">
        <v>4064544.16</v>
      </c>
      <c r="L14" s="217">
        <v>3823026.1999999997</v>
      </c>
      <c r="M14" s="217">
        <v>4089490.58</v>
      </c>
      <c r="N14" s="217">
        <v>3309700.02</v>
      </c>
      <c r="O14" s="217">
        <v>4059495.7</v>
      </c>
      <c r="P14" s="217">
        <f>SUM(D14:O14)</f>
        <v>45575679.661000006</v>
      </c>
      <c r="Q14" s="82"/>
      <c r="R14" s="144" t="str">
        <f t="shared" si="1"/>
        <v>2023 Actual</v>
      </c>
    </row>
    <row r="15" spans="1:18" x14ac:dyDescent="0.2">
      <c r="A15" s="2" t="s">
        <v>9</v>
      </c>
      <c r="B15" s="113" t="s">
        <v>263</v>
      </c>
      <c r="C15" s="17"/>
      <c r="D15" s="217">
        <v>15360</v>
      </c>
      <c r="E15" s="217">
        <v>14720</v>
      </c>
      <c r="F15" s="217">
        <v>14400</v>
      </c>
      <c r="G15" s="217">
        <v>14720</v>
      </c>
      <c r="H15" s="217">
        <v>14720</v>
      </c>
      <c r="I15" s="217">
        <v>15360</v>
      </c>
      <c r="J15" s="217">
        <v>14400</v>
      </c>
      <c r="K15" s="217">
        <v>13440</v>
      </c>
      <c r="L15" s="217">
        <v>13440</v>
      </c>
      <c r="M15" s="217">
        <v>12160</v>
      </c>
      <c r="N15" s="217">
        <v>12160</v>
      </c>
      <c r="O15" s="217">
        <v>12800</v>
      </c>
      <c r="P15" s="217">
        <f>SUM(D15:O15)</f>
        <v>167680</v>
      </c>
      <c r="Q15" s="82"/>
      <c r="R15" s="144" t="str">
        <f t="shared" si="1"/>
        <v>2023 Actual</v>
      </c>
    </row>
    <row r="16" spans="1:18" ht="15.75" x14ac:dyDescent="0.25">
      <c r="A16" s="186"/>
      <c r="B16" s="215" t="s">
        <v>264</v>
      </c>
      <c r="C16" s="216"/>
      <c r="D16" s="220">
        <f>SUM(D12:D15)</f>
        <v>34099912.446999997</v>
      </c>
      <c r="E16" s="220">
        <f t="shared" ref="E16:O16" si="2">SUM(E12:E15)</f>
        <v>31058287.640999999</v>
      </c>
      <c r="F16" s="220">
        <f t="shared" si="2"/>
        <v>35591801.023000002</v>
      </c>
      <c r="G16" s="220">
        <f t="shared" si="2"/>
        <v>31955781.166000001</v>
      </c>
      <c r="H16" s="220">
        <f t="shared" si="2"/>
        <v>31694560.247000001</v>
      </c>
      <c r="I16" s="220">
        <f t="shared" si="2"/>
        <v>33655024.986000001</v>
      </c>
      <c r="J16" s="220">
        <f t="shared" si="2"/>
        <v>35758177.840999976</v>
      </c>
      <c r="K16" s="220">
        <f t="shared" si="2"/>
        <v>37972170.559</v>
      </c>
      <c r="L16" s="220">
        <f t="shared" si="2"/>
        <v>37167309.061000004</v>
      </c>
      <c r="M16" s="220">
        <f t="shared" si="2"/>
        <v>35466914.794</v>
      </c>
      <c r="N16" s="220">
        <f t="shared" si="2"/>
        <v>29927978.334000003</v>
      </c>
      <c r="O16" s="220">
        <f t="shared" si="2"/>
        <v>35144333.463000007</v>
      </c>
      <c r="P16" s="220">
        <f>SUM(D16:O16)</f>
        <v>409492251.56199998</v>
      </c>
      <c r="Q16" s="87"/>
      <c r="R16" s="143"/>
    </row>
    <row r="17" spans="1:18" x14ac:dyDescent="0.2">
      <c r="A17">
        <v>4</v>
      </c>
      <c r="B17" t="s">
        <v>265</v>
      </c>
      <c r="C17" s="17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82"/>
      <c r="R17" s="145"/>
    </row>
    <row r="18" spans="1:18" x14ac:dyDescent="0.2">
      <c r="A18" s="2" t="s">
        <v>6</v>
      </c>
      <c r="B18" s="111" t="s">
        <v>266</v>
      </c>
      <c r="C18" s="17"/>
      <c r="D18" s="217">
        <v>9191560</v>
      </c>
      <c r="E18" s="217">
        <v>8839920</v>
      </c>
      <c r="F18" s="217">
        <v>7612640</v>
      </c>
      <c r="G18" s="217">
        <v>12806760</v>
      </c>
      <c r="H18" s="217">
        <v>9799760</v>
      </c>
      <c r="I18" s="217">
        <v>9880960</v>
      </c>
      <c r="J18" s="217">
        <v>9948200</v>
      </c>
      <c r="K18" s="217">
        <v>11762579.279999999</v>
      </c>
      <c r="L18" s="217">
        <v>12348779.280000001</v>
      </c>
      <c r="M18" s="217">
        <v>11077082.600000001</v>
      </c>
      <c r="N18" s="217">
        <v>10770847.92</v>
      </c>
      <c r="O18" s="217">
        <v>10076220.4</v>
      </c>
      <c r="P18" s="217">
        <f>SUM(D18:O18)</f>
        <v>124115309.48</v>
      </c>
      <c r="Q18" s="82"/>
      <c r="R18" s="144" t="str">
        <f t="shared" ref="R18:R24" si="3">$R$9</f>
        <v>2023 Actual</v>
      </c>
    </row>
    <row r="19" spans="1:18" x14ac:dyDescent="0.2">
      <c r="A19" s="2" t="s">
        <v>7</v>
      </c>
      <c r="B19" s="113" t="s">
        <v>267</v>
      </c>
      <c r="C19" s="17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82"/>
      <c r="R19" s="144" t="str">
        <f t="shared" si="3"/>
        <v>2023 Actual</v>
      </c>
    </row>
    <row r="20" spans="1:18" x14ac:dyDescent="0.2">
      <c r="A20" s="2" t="s">
        <v>8</v>
      </c>
      <c r="B20" s="111" t="s">
        <v>268</v>
      </c>
      <c r="C20" s="17"/>
      <c r="D20" s="217">
        <v>4567000</v>
      </c>
      <c r="E20" s="217">
        <v>4372800</v>
      </c>
      <c r="F20" s="217">
        <v>7200275</v>
      </c>
      <c r="G20" s="217">
        <v>5288150</v>
      </c>
      <c r="H20" s="217">
        <v>5673800</v>
      </c>
      <c r="I20" s="217">
        <v>5161875</v>
      </c>
      <c r="J20" s="217">
        <v>5223125</v>
      </c>
      <c r="K20" s="217">
        <v>7649487.2500000009</v>
      </c>
      <c r="L20" s="217">
        <v>9786314.2500000019</v>
      </c>
      <c r="M20" s="217">
        <v>5937760.25</v>
      </c>
      <c r="N20" s="217">
        <v>9504429.25</v>
      </c>
      <c r="O20" s="217">
        <v>5335497.3</v>
      </c>
      <c r="P20" s="217">
        <f t="shared" ref="P20:P24" si="4">SUM(D20:O20)</f>
        <v>75700513.299999997</v>
      </c>
      <c r="Q20" s="82"/>
      <c r="R20" s="144" t="str">
        <f t="shared" si="3"/>
        <v>2023 Actual</v>
      </c>
    </row>
    <row r="21" spans="1:18" x14ac:dyDescent="0.2">
      <c r="A21" s="2" t="s">
        <v>9</v>
      </c>
      <c r="B21" s="111" t="s">
        <v>269</v>
      </c>
      <c r="C21" s="17"/>
      <c r="D21" s="217">
        <v>344099.99999999988</v>
      </c>
      <c r="E21" s="217">
        <v>635200</v>
      </c>
      <c r="F21" s="217">
        <v>614900</v>
      </c>
      <c r="G21" s="217">
        <v>486900</v>
      </c>
      <c r="H21" s="217">
        <v>431600</v>
      </c>
      <c r="I21" s="217">
        <v>315600</v>
      </c>
      <c r="J21" s="217">
        <v>982600</v>
      </c>
      <c r="K21" s="217">
        <v>1083417.5</v>
      </c>
      <c r="L21" s="217">
        <v>706658.39999999967</v>
      </c>
      <c r="M21" s="217">
        <v>981363.10000000009</v>
      </c>
      <c r="N21" s="217">
        <v>490827.30000000005</v>
      </c>
      <c r="O21" s="217">
        <v>504997.80000000028</v>
      </c>
      <c r="P21" s="217">
        <f t="shared" si="4"/>
        <v>7578164.0999999996</v>
      </c>
      <c r="Q21" s="82"/>
      <c r="R21" s="144" t="str">
        <f t="shared" si="3"/>
        <v>2023 Actual</v>
      </c>
    </row>
    <row r="22" spans="1:18" x14ac:dyDescent="0.2">
      <c r="A22" s="2" t="s">
        <v>10</v>
      </c>
      <c r="B22" s="111" t="s">
        <v>270</v>
      </c>
      <c r="C22" s="114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82"/>
      <c r="R22" s="144" t="str">
        <f t="shared" si="3"/>
        <v>2023 Actual</v>
      </c>
    </row>
    <row r="23" spans="1:18" x14ac:dyDescent="0.2">
      <c r="A23" s="2" t="s">
        <v>11</v>
      </c>
      <c r="B23" s="111" t="s">
        <v>271</v>
      </c>
      <c r="C23" s="17"/>
      <c r="D23" s="217">
        <v>321390.84999999998</v>
      </c>
      <c r="E23" s="217">
        <v>-1104347.825</v>
      </c>
      <c r="F23" s="217">
        <v>9439281.625</v>
      </c>
      <c r="G23" s="217">
        <v>1248922.1499999999</v>
      </c>
      <c r="H23" s="217">
        <v>2137444.0249999999</v>
      </c>
      <c r="I23" s="217">
        <v>225323.375</v>
      </c>
      <c r="J23" s="217">
        <v>193016.4</v>
      </c>
      <c r="K23" s="217">
        <v>473823.72499999998</v>
      </c>
      <c r="L23" s="217">
        <v>393031.2</v>
      </c>
      <c r="M23" s="217">
        <v>271580.125</v>
      </c>
      <c r="N23" s="217">
        <v>2292505.5249999999</v>
      </c>
      <c r="O23" s="217">
        <v>535981.5</v>
      </c>
      <c r="P23" s="217">
        <f t="shared" si="4"/>
        <v>16427952.675000001</v>
      </c>
      <c r="Q23" s="82"/>
      <c r="R23" s="144" t="str">
        <f t="shared" si="3"/>
        <v>2023 Actual</v>
      </c>
    </row>
    <row r="24" spans="1:18" x14ac:dyDescent="0.2">
      <c r="A24" s="2" t="s">
        <v>272</v>
      </c>
      <c r="B24" s="111" t="s">
        <v>273</v>
      </c>
      <c r="C24" s="17"/>
      <c r="D24" s="217">
        <v>743418.4</v>
      </c>
      <c r="E24" s="217">
        <v>1244149.8</v>
      </c>
      <c r="F24" s="217">
        <v>1075446.8</v>
      </c>
      <c r="G24" s="217">
        <v>1234508</v>
      </c>
      <c r="H24" s="217">
        <v>1251360.8</v>
      </c>
      <c r="I24" s="217">
        <v>1548775.2</v>
      </c>
      <c r="J24" s="217">
        <v>1620432</v>
      </c>
      <c r="K24" s="217">
        <v>1222745.1999999997</v>
      </c>
      <c r="L24" s="217">
        <v>1494961.9999999998</v>
      </c>
      <c r="M24" s="217">
        <v>1453178.5999999996</v>
      </c>
      <c r="N24" s="217">
        <v>1302567.5999999999</v>
      </c>
      <c r="O24" s="217">
        <v>1376184.2</v>
      </c>
      <c r="P24" s="217">
        <f t="shared" si="4"/>
        <v>15567728.599999998</v>
      </c>
      <c r="Q24" s="82"/>
      <c r="R24" s="144" t="str">
        <f t="shared" si="3"/>
        <v>2023 Actual</v>
      </c>
    </row>
    <row r="25" spans="1:18" ht="15.75" x14ac:dyDescent="0.25">
      <c r="A25" s="186"/>
      <c r="B25" s="221" t="s">
        <v>274</v>
      </c>
      <c r="C25" s="216"/>
      <c r="D25" s="220">
        <f t="shared" ref="D25:P25" si="5">SUM(D18:D24)</f>
        <v>15167469.25</v>
      </c>
      <c r="E25" s="220">
        <f t="shared" ref="E25:O25" si="6">SUM(E18:E24)</f>
        <v>13987721.975000001</v>
      </c>
      <c r="F25" s="220">
        <f t="shared" si="6"/>
        <v>25942543.425000001</v>
      </c>
      <c r="G25" s="220">
        <f t="shared" si="6"/>
        <v>21065240.149999999</v>
      </c>
      <c r="H25" s="220">
        <f t="shared" si="6"/>
        <v>19293964.824999999</v>
      </c>
      <c r="I25" s="220">
        <f t="shared" si="6"/>
        <v>17132533.574999999</v>
      </c>
      <c r="J25" s="220">
        <f t="shared" si="6"/>
        <v>17967373.399999999</v>
      </c>
      <c r="K25" s="220">
        <f t="shared" si="6"/>
        <v>22192052.955000002</v>
      </c>
      <c r="L25" s="220">
        <f t="shared" si="6"/>
        <v>24729745.129999999</v>
      </c>
      <c r="M25" s="220">
        <f t="shared" si="6"/>
        <v>19720964.675000004</v>
      </c>
      <c r="N25" s="220">
        <f t="shared" si="6"/>
        <v>24361177.595000003</v>
      </c>
      <c r="O25" s="220">
        <f t="shared" si="6"/>
        <v>17828881.199999999</v>
      </c>
      <c r="P25" s="220">
        <f t="shared" si="5"/>
        <v>239389668.155</v>
      </c>
      <c r="Q25" s="87"/>
      <c r="R25" s="143"/>
    </row>
    <row r="26" spans="1:18" ht="15.75" x14ac:dyDescent="0.25">
      <c r="A26" s="222">
        <v>5</v>
      </c>
      <c r="B26" s="222" t="s">
        <v>275</v>
      </c>
      <c r="C26" s="223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87"/>
      <c r="R26" s="143"/>
    </row>
    <row r="27" spans="1:18" x14ac:dyDescent="0.2">
      <c r="A27" s="2" t="s">
        <v>6</v>
      </c>
      <c r="B27" s="111" t="s">
        <v>155</v>
      </c>
      <c r="C27" s="114"/>
      <c r="D27" s="217">
        <v>403058.33100000012</v>
      </c>
      <c r="E27" s="217">
        <v>373280.99799999991</v>
      </c>
      <c r="F27" s="217">
        <v>454625.39900000009</v>
      </c>
      <c r="G27" s="217">
        <v>351364.57099999994</v>
      </c>
      <c r="H27" s="217">
        <v>429553.77799999993</v>
      </c>
      <c r="I27" s="217">
        <v>395749.59200000012</v>
      </c>
      <c r="J27" s="217">
        <v>394670.59999999829</v>
      </c>
      <c r="K27" s="217">
        <v>416171.54499999998</v>
      </c>
      <c r="L27" s="217">
        <v>356151.61799999967</v>
      </c>
      <c r="M27" s="217">
        <v>431785.48699999991</v>
      </c>
      <c r="N27" s="217">
        <v>371325.435</v>
      </c>
      <c r="O27" s="217">
        <v>392053.53399999999</v>
      </c>
      <c r="P27" s="217">
        <f>SUM(D27:O27)</f>
        <v>4769790.8879999975</v>
      </c>
      <c r="Q27" s="82"/>
      <c r="R27" s="144" t="str">
        <f>$R$9</f>
        <v>2023 Actual</v>
      </c>
    </row>
    <row r="28" spans="1:18" x14ac:dyDescent="0.2">
      <c r="A28" s="2" t="s">
        <v>7</v>
      </c>
      <c r="B28" s="111" t="s">
        <v>276</v>
      </c>
      <c r="C28" s="114"/>
      <c r="D28" s="217">
        <v>110410</v>
      </c>
      <c r="E28" s="217">
        <v>11686</v>
      </c>
      <c r="F28" s="217">
        <v>209134</v>
      </c>
      <c r="G28" s="217">
        <v>11686</v>
      </c>
      <c r="H28" s="217">
        <v>209136.66700000002</v>
      </c>
      <c r="I28" s="217">
        <v>112794.74</v>
      </c>
      <c r="J28" s="217">
        <v>112107</v>
      </c>
      <c r="K28" s="217">
        <v>112107</v>
      </c>
      <c r="L28" s="217">
        <v>112107</v>
      </c>
      <c r="M28" s="217">
        <v>112107</v>
      </c>
      <c r="N28" s="217">
        <v>112115</v>
      </c>
      <c r="O28" s="217">
        <v>112115</v>
      </c>
      <c r="P28" s="217">
        <f>SUM(D28:O28)</f>
        <v>1337505.4070000001</v>
      </c>
      <c r="Q28" s="82"/>
      <c r="R28" s="144" t="str">
        <f>$R$9</f>
        <v>2023 Actual</v>
      </c>
    </row>
    <row r="29" spans="1:18" ht="15.75" x14ac:dyDescent="0.25">
      <c r="A29" s="186"/>
      <c r="B29" s="215" t="s">
        <v>277</v>
      </c>
      <c r="C29" s="216"/>
      <c r="D29" s="220">
        <f>SUM(D27:D28)</f>
        <v>513468.33100000012</v>
      </c>
      <c r="E29" s="220">
        <f t="shared" ref="E29:O29" si="7">SUM(E27:E28)</f>
        <v>384966.99799999991</v>
      </c>
      <c r="F29" s="220">
        <f t="shared" si="7"/>
        <v>663759.39900000009</v>
      </c>
      <c r="G29" s="220">
        <f t="shared" si="7"/>
        <v>363050.57099999994</v>
      </c>
      <c r="H29" s="220">
        <f t="shared" si="7"/>
        <v>638690.44499999995</v>
      </c>
      <c r="I29" s="220">
        <f t="shared" si="7"/>
        <v>508544.33200000011</v>
      </c>
      <c r="J29" s="220">
        <f t="shared" si="7"/>
        <v>506777.59999999829</v>
      </c>
      <c r="K29" s="220">
        <f t="shared" si="7"/>
        <v>528278.54499999993</v>
      </c>
      <c r="L29" s="220">
        <f t="shared" si="7"/>
        <v>468258.61799999967</v>
      </c>
      <c r="M29" s="220">
        <f t="shared" si="7"/>
        <v>543892.48699999996</v>
      </c>
      <c r="N29" s="220">
        <f t="shared" si="7"/>
        <v>483440.435</v>
      </c>
      <c r="O29" s="220">
        <f t="shared" si="7"/>
        <v>504168.53399999999</v>
      </c>
      <c r="P29" s="220">
        <f>SUM(D29:O29)</f>
        <v>6107296.2949999971</v>
      </c>
      <c r="Q29" s="87"/>
      <c r="R29" s="143"/>
    </row>
    <row r="30" spans="1:18" x14ac:dyDescent="0.2">
      <c r="A30">
        <v>6</v>
      </c>
      <c r="B30" t="s">
        <v>278</v>
      </c>
      <c r="C30" s="17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82"/>
      <c r="R30" s="145"/>
    </row>
    <row r="31" spans="1:18" x14ac:dyDescent="0.2">
      <c r="A31" s="2" t="s">
        <v>6</v>
      </c>
      <c r="B31" s="111" t="s">
        <v>279</v>
      </c>
      <c r="C31" s="114"/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f>SUM(D31:O31)</f>
        <v>0</v>
      </c>
      <c r="Q31" s="82"/>
      <c r="R31" s="144" t="str">
        <f t="shared" ref="R31:R33" si="8">$R$9</f>
        <v>2023 Actual</v>
      </c>
    </row>
    <row r="32" spans="1:18" x14ac:dyDescent="0.2">
      <c r="A32" s="2" t="s">
        <v>7</v>
      </c>
      <c r="B32" s="111" t="s">
        <v>280</v>
      </c>
      <c r="C32" s="114"/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f>SUM(D32:O32)</f>
        <v>0</v>
      </c>
      <c r="Q32" s="82"/>
      <c r="R32" s="144" t="str">
        <f t="shared" si="8"/>
        <v>2023 Actual</v>
      </c>
    </row>
    <row r="33" spans="1:18" x14ac:dyDescent="0.2">
      <c r="A33" s="2" t="s">
        <v>8</v>
      </c>
      <c r="B33" s="111" t="s">
        <v>281</v>
      </c>
      <c r="C33" s="114"/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f>SUM(D33:O33)</f>
        <v>0</v>
      </c>
      <c r="Q33" s="82"/>
      <c r="R33" s="144" t="str">
        <f t="shared" si="8"/>
        <v>2023 Actual</v>
      </c>
    </row>
    <row r="34" spans="1:18" x14ac:dyDescent="0.2">
      <c r="A34" s="2"/>
      <c r="C34" s="17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82"/>
      <c r="R34" s="144"/>
    </row>
    <row r="35" spans="1:18" ht="16.5" thickBot="1" x14ac:dyDescent="0.3">
      <c r="A35" s="210"/>
      <c r="B35" s="224" t="s">
        <v>282</v>
      </c>
      <c r="C35" s="225"/>
      <c r="D35" s="226">
        <f>D9+D10+D16+D25+D29+D31+D33</f>
        <v>133177601.94300003</v>
      </c>
      <c r="E35" s="226">
        <f t="shared" ref="E35:P35" si="9">E9+E10+E16+E25+E29+E31+E33</f>
        <v>121454722.23199999</v>
      </c>
      <c r="F35" s="226">
        <f t="shared" si="9"/>
        <v>146227811.24899992</v>
      </c>
      <c r="G35" s="226">
        <f t="shared" si="9"/>
        <v>116277743.90100001</v>
      </c>
      <c r="H35" s="226">
        <f t="shared" si="9"/>
        <v>113709508.61500002</v>
      </c>
      <c r="I35" s="226">
        <f t="shared" si="9"/>
        <v>112175821.60800004</v>
      </c>
      <c r="J35" s="226">
        <f t="shared" si="9"/>
        <v>121675066.69800037</v>
      </c>
      <c r="K35" s="226">
        <f t="shared" si="9"/>
        <v>134394285.602</v>
      </c>
      <c r="L35" s="226">
        <f t="shared" si="9"/>
        <v>128324639.59900001</v>
      </c>
      <c r="M35" s="226">
        <f t="shared" si="9"/>
        <v>116975942.91900004</v>
      </c>
      <c r="N35" s="226">
        <f t="shared" si="9"/>
        <v>113979099.19599999</v>
      </c>
      <c r="O35" s="226">
        <f t="shared" si="9"/>
        <v>128999423.91800004</v>
      </c>
      <c r="P35" s="226">
        <f t="shared" si="9"/>
        <v>1487371667.4800005</v>
      </c>
      <c r="Q35" s="82"/>
      <c r="R35" s="144"/>
    </row>
    <row r="36" spans="1:18" ht="15.75" thickTop="1" x14ac:dyDescent="0.2">
      <c r="Q36" s="82"/>
      <c r="R36" s="144"/>
    </row>
  </sheetData>
  <mergeCells count="6"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scale="3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8687-C095-46AC-99F2-8E0A5C017436}">
  <sheetPr>
    <pageSetUpPr fitToPage="1"/>
  </sheetPr>
  <dimension ref="A1:O62"/>
  <sheetViews>
    <sheetView topLeftCell="A17" zoomScaleNormal="100" zoomScaleSheetLayoutView="115" workbookViewId="0">
      <selection activeCell="L46" sqref="L46"/>
    </sheetView>
  </sheetViews>
  <sheetFormatPr defaultRowHeight="12.75" x14ac:dyDescent="0.2"/>
  <cols>
    <col min="1" max="1" width="4.6640625" style="120" customWidth="1"/>
    <col min="2" max="2" width="26" style="120" customWidth="1"/>
    <col min="3" max="3" width="2" style="120" customWidth="1"/>
    <col min="4" max="4" width="6.5546875" style="120" customWidth="1"/>
    <col min="5" max="5" width="2" style="120" customWidth="1"/>
    <col min="6" max="6" width="13.5546875" style="120" customWidth="1"/>
    <col min="7" max="7" width="2" style="120" customWidth="1"/>
    <col min="8" max="8" width="10.5546875" style="120" customWidth="1"/>
    <col min="9" max="9" width="2.5546875" style="120" customWidth="1"/>
    <col min="10" max="10" width="16.88671875" style="140" customWidth="1"/>
    <col min="11" max="11" width="1.88671875" style="140" customWidth="1"/>
    <col min="12" max="12" width="36" style="120" customWidth="1"/>
    <col min="13" max="13" width="9.5546875" style="120" customWidth="1"/>
    <col min="14" max="225" width="8.88671875" style="120"/>
    <col min="226" max="226" width="5.88671875" style="120" customWidth="1"/>
    <col min="227" max="227" width="40" style="120" customWidth="1"/>
    <col min="228" max="228" width="13.77734375" style="120" customWidth="1"/>
    <col min="229" max="229" width="12.88671875" style="120" customWidth="1"/>
    <col min="230" max="232" width="11.109375" style="120" customWidth="1"/>
    <col min="233" max="233" width="14.33203125" style="120" customWidth="1"/>
    <col min="234" max="234" width="11.33203125" style="120" customWidth="1"/>
    <col min="235" max="235" width="11.109375" style="120" customWidth="1"/>
    <col min="236" max="236" width="11.21875" style="120" customWidth="1"/>
    <col min="237" max="481" width="8.88671875" style="120"/>
    <col min="482" max="482" width="5.88671875" style="120" customWidth="1"/>
    <col min="483" max="483" width="40" style="120" customWidth="1"/>
    <col min="484" max="484" width="13.77734375" style="120" customWidth="1"/>
    <col min="485" max="485" width="12.88671875" style="120" customWidth="1"/>
    <col min="486" max="488" width="11.109375" style="120" customWidth="1"/>
    <col min="489" max="489" width="14.33203125" style="120" customWidth="1"/>
    <col min="490" max="490" width="11.33203125" style="120" customWidth="1"/>
    <col min="491" max="491" width="11.109375" style="120" customWidth="1"/>
    <col min="492" max="492" width="11.21875" style="120" customWidth="1"/>
    <col min="493" max="737" width="8.88671875" style="120"/>
    <col min="738" max="738" width="5.88671875" style="120" customWidth="1"/>
    <col min="739" max="739" width="40" style="120" customWidth="1"/>
    <col min="740" max="740" width="13.77734375" style="120" customWidth="1"/>
    <col min="741" max="741" width="12.88671875" style="120" customWidth="1"/>
    <col min="742" max="744" width="11.109375" style="120" customWidth="1"/>
    <col min="745" max="745" width="14.33203125" style="120" customWidth="1"/>
    <col min="746" max="746" width="11.33203125" style="120" customWidth="1"/>
    <col min="747" max="747" width="11.109375" style="120" customWidth="1"/>
    <col min="748" max="748" width="11.21875" style="120" customWidth="1"/>
    <col min="749" max="993" width="8.88671875" style="120"/>
    <col min="994" max="994" width="5.88671875" style="120" customWidth="1"/>
    <col min="995" max="995" width="40" style="120" customWidth="1"/>
    <col min="996" max="996" width="13.77734375" style="120" customWidth="1"/>
    <col min="997" max="997" width="12.88671875" style="120" customWidth="1"/>
    <col min="998" max="1000" width="11.109375" style="120" customWidth="1"/>
    <col min="1001" max="1001" width="14.33203125" style="120" customWidth="1"/>
    <col min="1002" max="1002" width="11.33203125" style="120" customWidth="1"/>
    <col min="1003" max="1003" width="11.109375" style="120" customWidth="1"/>
    <col min="1004" max="1004" width="11.21875" style="120" customWidth="1"/>
    <col min="1005" max="1249" width="8.88671875" style="120"/>
    <col min="1250" max="1250" width="5.88671875" style="120" customWidth="1"/>
    <col min="1251" max="1251" width="40" style="120" customWidth="1"/>
    <col min="1252" max="1252" width="13.77734375" style="120" customWidth="1"/>
    <col min="1253" max="1253" width="12.88671875" style="120" customWidth="1"/>
    <col min="1254" max="1256" width="11.109375" style="120" customWidth="1"/>
    <col min="1257" max="1257" width="14.33203125" style="120" customWidth="1"/>
    <col min="1258" max="1258" width="11.33203125" style="120" customWidth="1"/>
    <col min="1259" max="1259" width="11.109375" style="120" customWidth="1"/>
    <col min="1260" max="1260" width="11.21875" style="120" customWidth="1"/>
    <col min="1261" max="1505" width="8.88671875" style="120"/>
    <col min="1506" max="1506" width="5.88671875" style="120" customWidth="1"/>
    <col min="1507" max="1507" width="40" style="120" customWidth="1"/>
    <col min="1508" max="1508" width="13.77734375" style="120" customWidth="1"/>
    <col min="1509" max="1509" width="12.88671875" style="120" customWidth="1"/>
    <col min="1510" max="1512" width="11.109375" style="120" customWidth="1"/>
    <col min="1513" max="1513" width="14.33203125" style="120" customWidth="1"/>
    <col min="1514" max="1514" width="11.33203125" style="120" customWidth="1"/>
    <col min="1515" max="1515" width="11.109375" style="120" customWidth="1"/>
    <col min="1516" max="1516" width="11.21875" style="120" customWidth="1"/>
    <col min="1517" max="1761" width="8.88671875" style="120"/>
    <col min="1762" max="1762" width="5.88671875" style="120" customWidth="1"/>
    <col min="1763" max="1763" width="40" style="120" customWidth="1"/>
    <col min="1764" max="1764" width="13.77734375" style="120" customWidth="1"/>
    <col min="1765" max="1765" width="12.88671875" style="120" customWidth="1"/>
    <col min="1766" max="1768" width="11.109375" style="120" customWidth="1"/>
    <col min="1769" max="1769" width="14.33203125" style="120" customWidth="1"/>
    <col min="1770" max="1770" width="11.33203125" style="120" customWidth="1"/>
    <col min="1771" max="1771" width="11.109375" style="120" customWidth="1"/>
    <col min="1772" max="1772" width="11.21875" style="120" customWidth="1"/>
    <col min="1773" max="2017" width="8.88671875" style="120"/>
    <col min="2018" max="2018" width="5.88671875" style="120" customWidth="1"/>
    <col min="2019" max="2019" width="40" style="120" customWidth="1"/>
    <col min="2020" max="2020" width="13.77734375" style="120" customWidth="1"/>
    <col min="2021" max="2021" width="12.88671875" style="120" customWidth="1"/>
    <col min="2022" max="2024" width="11.109375" style="120" customWidth="1"/>
    <col min="2025" max="2025" width="14.33203125" style="120" customWidth="1"/>
    <col min="2026" max="2026" width="11.33203125" style="120" customWidth="1"/>
    <col min="2027" max="2027" width="11.109375" style="120" customWidth="1"/>
    <col min="2028" max="2028" width="11.21875" style="120" customWidth="1"/>
    <col min="2029" max="2273" width="8.88671875" style="120"/>
    <col min="2274" max="2274" width="5.88671875" style="120" customWidth="1"/>
    <col min="2275" max="2275" width="40" style="120" customWidth="1"/>
    <col min="2276" max="2276" width="13.77734375" style="120" customWidth="1"/>
    <col min="2277" max="2277" width="12.88671875" style="120" customWidth="1"/>
    <col min="2278" max="2280" width="11.109375" style="120" customWidth="1"/>
    <col min="2281" max="2281" width="14.33203125" style="120" customWidth="1"/>
    <col min="2282" max="2282" width="11.33203125" style="120" customWidth="1"/>
    <col min="2283" max="2283" width="11.109375" style="120" customWidth="1"/>
    <col min="2284" max="2284" width="11.21875" style="120" customWidth="1"/>
    <col min="2285" max="2529" width="8.88671875" style="120"/>
    <col min="2530" max="2530" width="5.88671875" style="120" customWidth="1"/>
    <col min="2531" max="2531" width="40" style="120" customWidth="1"/>
    <col min="2532" max="2532" width="13.77734375" style="120" customWidth="1"/>
    <col min="2533" max="2533" width="12.88671875" style="120" customWidth="1"/>
    <col min="2534" max="2536" width="11.109375" style="120" customWidth="1"/>
    <col min="2537" max="2537" width="14.33203125" style="120" customWidth="1"/>
    <col min="2538" max="2538" width="11.33203125" style="120" customWidth="1"/>
    <col min="2539" max="2539" width="11.109375" style="120" customWidth="1"/>
    <col min="2540" max="2540" width="11.21875" style="120" customWidth="1"/>
    <col min="2541" max="2785" width="8.88671875" style="120"/>
    <col min="2786" max="2786" width="5.88671875" style="120" customWidth="1"/>
    <col min="2787" max="2787" width="40" style="120" customWidth="1"/>
    <col min="2788" max="2788" width="13.77734375" style="120" customWidth="1"/>
    <col min="2789" max="2789" width="12.88671875" style="120" customWidth="1"/>
    <col min="2790" max="2792" width="11.109375" style="120" customWidth="1"/>
    <col min="2793" max="2793" width="14.33203125" style="120" customWidth="1"/>
    <col min="2794" max="2794" width="11.33203125" style="120" customWidth="1"/>
    <col min="2795" max="2795" width="11.109375" style="120" customWidth="1"/>
    <col min="2796" max="2796" width="11.21875" style="120" customWidth="1"/>
    <col min="2797" max="3041" width="8.88671875" style="120"/>
    <col min="3042" max="3042" width="5.88671875" style="120" customWidth="1"/>
    <col min="3043" max="3043" width="40" style="120" customWidth="1"/>
    <col min="3044" max="3044" width="13.77734375" style="120" customWidth="1"/>
    <col min="3045" max="3045" width="12.88671875" style="120" customWidth="1"/>
    <col min="3046" max="3048" width="11.109375" style="120" customWidth="1"/>
    <col min="3049" max="3049" width="14.33203125" style="120" customWidth="1"/>
    <col min="3050" max="3050" width="11.33203125" style="120" customWidth="1"/>
    <col min="3051" max="3051" width="11.109375" style="120" customWidth="1"/>
    <col min="3052" max="3052" width="11.21875" style="120" customWidth="1"/>
    <col min="3053" max="3297" width="8.88671875" style="120"/>
    <col min="3298" max="3298" width="5.88671875" style="120" customWidth="1"/>
    <col min="3299" max="3299" width="40" style="120" customWidth="1"/>
    <col min="3300" max="3300" width="13.77734375" style="120" customWidth="1"/>
    <col min="3301" max="3301" width="12.88671875" style="120" customWidth="1"/>
    <col min="3302" max="3304" width="11.109375" style="120" customWidth="1"/>
    <col min="3305" max="3305" width="14.33203125" style="120" customWidth="1"/>
    <col min="3306" max="3306" width="11.33203125" style="120" customWidth="1"/>
    <col min="3307" max="3307" width="11.109375" style="120" customWidth="1"/>
    <col min="3308" max="3308" width="11.21875" style="120" customWidth="1"/>
    <col min="3309" max="3553" width="8.88671875" style="120"/>
    <col min="3554" max="3554" width="5.88671875" style="120" customWidth="1"/>
    <col min="3555" max="3555" width="40" style="120" customWidth="1"/>
    <col min="3556" max="3556" width="13.77734375" style="120" customWidth="1"/>
    <col min="3557" max="3557" width="12.88671875" style="120" customWidth="1"/>
    <col min="3558" max="3560" width="11.109375" style="120" customWidth="1"/>
    <col min="3561" max="3561" width="14.33203125" style="120" customWidth="1"/>
    <col min="3562" max="3562" width="11.33203125" style="120" customWidth="1"/>
    <col min="3563" max="3563" width="11.109375" style="120" customWidth="1"/>
    <col min="3564" max="3564" width="11.21875" style="120" customWidth="1"/>
    <col min="3565" max="3809" width="8.88671875" style="120"/>
    <col min="3810" max="3810" width="5.88671875" style="120" customWidth="1"/>
    <col min="3811" max="3811" width="40" style="120" customWidth="1"/>
    <col min="3812" max="3812" width="13.77734375" style="120" customWidth="1"/>
    <col min="3813" max="3813" width="12.88671875" style="120" customWidth="1"/>
    <col min="3814" max="3816" width="11.109375" style="120" customWidth="1"/>
    <col min="3817" max="3817" width="14.33203125" style="120" customWidth="1"/>
    <col min="3818" max="3818" width="11.33203125" style="120" customWidth="1"/>
    <col min="3819" max="3819" width="11.109375" style="120" customWidth="1"/>
    <col min="3820" max="3820" width="11.21875" style="120" customWidth="1"/>
    <col min="3821" max="4065" width="8.88671875" style="120"/>
    <col min="4066" max="4066" width="5.88671875" style="120" customWidth="1"/>
    <col min="4067" max="4067" width="40" style="120" customWidth="1"/>
    <col min="4068" max="4068" width="13.77734375" style="120" customWidth="1"/>
    <col min="4069" max="4069" width="12.88671875" style="120" customWidth="1"/>
    <col min="4070" max="4072" width="11.109375" style="120" customWidth="1"/>
    <col min="4073" max="4073" width="14.33203125" style="120" customWidth="1"/>
    <col min="4074" max="4074" width="11.33203125" style="120" customWidth="1"/>
    <col min="4075" max="4075" width="11.109375" style="120" customWidth="1"/>
    <col min="4076" max="4076" width="11.21875" style="120" customWidth="1"/>
    <col min="4077" max="4321" width="8.88671875" style="120"/>
    <col min="4322" max="4322" width="5.88671875" style="120" customWidth="1"/>
    <col min="4323" max="4323" width="40" style="120" customWidth="1"/>
    <col min="4324" max="4324" width="13.77734375" style="120" customWidth="1"/>
    <col min="4325" max="4325" width="12.88671875" style="120" customWidth="1"/>
    <col min="4326" max="4328" width="11.109375" style="120" customWidth="1"/>
    <col min="4329" max="4329" width="14.33203125" style="120" customWidth="1"/>
    <col min="4330" max="4330" width="11.33203125" style="120" customWidth="1"/>
    <col min="4331" max="4331" width="11.109375" style="120" customWidth="1"/>
    <col min="4332" max="4332" width="11.21875" style="120" customWidth="1"/>
    <col min="4333" max="4577" width="8.88671875" style="120"/>
    <col min="4578" max="4578" width="5.88671875" style="120" customWidth="1"/>
    <col min="4579" max="4579" width="40" style="120" customWidth="1"/>
    <col min="4580" max="4580" width="13.77734375" style="120" customWidth="1"/>
    <col min="4581" max="4581" width="12.88671875" style="120" customWidth="1"/>
    <col min="4582" max="4584" width="11.109375" style="120" customWidth="1"/>
    <col min="4585" max="4585" width="14.33203125" style="120" customWidth="1"/>
    <col min="4586" max="4586" width="11.33203125" style="120" customWidth="1"/>
    <col min="4587" max="4587" width="11.109375" style="120" customWidth="1"/>
    <col min="4588" max="4588" width="11.21875" style="120" customWidth="1"/>
    <col min="4589" max="4833" width="8.88671875" style="120"/>
    <col min="4834" max="4834" width="5.88671875" style="120" customWidth="1"/>
    <col min="4835" max="4835" width="40" style="120" customWidth="1"/>
    <col min="4836" max="4836" width="13.77734375" style="120" customWidth="1"/>
    <col min="4837" max="4837" width="12.88671875" style="120" customWidth="1"/>
    <col min="4838" max="4840" width="11.109375" style="120" customWidth="1"/>
    <col min="4841" max="4841" width="14.33203125" style="120" customWidth="1"/>
    <col min="4842" max="4842" width="11.33203125" style="120" customWidth="1"/>
    <col min="4843" max="4843" width="11.109375" style="120" customWidth="1"/>
    <col min="4844" max="4844" width="11.21875" style="120" customWidth="1"/>
    <col min="4845" max="5089" width="8.88671875" style="120"/>
    <col min="5090" max="5090" width="5.88671875" style="120" customWidth="1"/>
    <col min="5091" max="5091" width="40" style="120" customWidth="1"/>
    <col min="5092" max="5092" width="13.77734375" style="120" customWidth="1"/>
    <col min="5093" max="5093" width="12.88671875" style="120" customWidth="1"/>
    <col min="5094" max="5096" width="11.109375" style="120" customWidth="1"/>
    <col min="5097" max="5097" width="14.33203125" style="120" customWidth="1"/>
    <col min="5098" max="5098" width="11.33203125" style="120" customWidth="1"/>
    <col min="5099" max="5099" width="11.109375" style="120" customWidth="1"/>
    <col min="5100" max="5100" width="11.21875" style="120" customWidth="1"/>
    <col min="5101" max="5345" width="8.88671875" style="120"/>
    <col min="5346" max="5346" width="5.88671875" style="120" customWidth="1"/>
    <col min="5347" max="5347" width="40" style="120" customWidth="1"/>
    <col min="5348" max="5348" width="13.77734375" style="120" customWidth="1"/>
    <col min="5349" max="5349" width="12.88671875" style="120" customWidth="1"/>
    <col min="5350" max="5352" width="11.109375" style="120" customWidth="1"/>
    <col min="5353" max="5353" width="14.33203125" style="120" customWidth="1"/>
    <col min="5354" max="5354" width="11.33203125" style="120" customWidth="1"/>
    <col min="5355" max="5355" width="11.109375" style="120" customWidth="1"/>
    <col min="5356" max="5356" width="11.21875" style="120" customWidth="1"/>
    <col min="5357" max="5601" width="8.88671875" style="120"/>
    <col min="5602" max="5602" width="5.88671875" style="120" customWidth="1"/>
    <col min="5603" max="5603" width="40" style="120" customWidth="1"/>
    <col min="5604" max="5604" width="13.77734375" style="120" customWidth="1"/>
    <col min="5605" max="5605" width="12.88671875" style="120" customWidth="1"/>
    <col min="5606" max="5608" width="11.109375" style="120" customWidth="1"/>
    <col min="5609" max="5609" width="14.33203125" style="120" customWidth="1"/>
    <col min="5610" max="5610" width="11.33203125" style="120" customWidth="1"/>
    <col min="5611" max="5611" width="11.109375" style="120" customWidth="1"/>
    <col min="5612" max="5612" width="11.21875" style="120" customWidth="1"/>
    <col min="5613" max="5857" width="8.88671875" style="120"/>
    <col min="5858" max="5858" width="5.88671875" style="120" customWidth="1"/>
    <col min="5859" max="5859" width="40" style="120" customWidth="1"/>
    <col min="5860" max="5860" width="13.77734375" style="120" customWidth="1"/>
    <col min="5861" max="5861" width="12.88671875" style="120" customWidth="1"/>
    <col min="5862" max="5864" width="11.109375" style="120" customWidth="1"/>
    <col min="5865" max="5865" width="14.33203125" style="120" customWidth="1"/>
    <col min="5866" max="5866" width="11.33203125" style="120" customWidth="1"/>
    <col min="5867" max="5867" width="11.109375" style="120" customWidth="1"/>
    <col min="5868" max="5868" width="11.21875" style="120" customWidth="1"/>
    <col min="5869" max="6113" width="8.88671875" style="120"/>
    <col min="6114" max="6114" width="5.88671875" style="120" customWidth="1"/>
    <col min="6115" max="6115" width="40" style="120" customWidth="1"/>
    <col min="6116" max="6116" width="13.77734375" style="120" customWidth="1"/>
    <col min="6117" max="6117" width="12.88671875" style="120" customWidth="1"/>
    <col min="6118" max="6120" width="11.109375" style="120" customWidth="1"/>
    <col min="6121" max="6121" width="14.33203125" style="120" customWidth="1"/>
    <col min="6122" max="6122" width="11.33203125" style="120" customWidth="1"/>
    <col min="6123" max="6123" width="11.109375" style="120" customWidth="1"/>
    <col min="6124" max="6124" width="11.21875" style="120" customWidth="1"/>
    <col min="6125" max="6369" width="8.88671875" style="120"/>
    <col min="6370" max="6370" width="5.88671875" style="120" customWidth="1"/>
    <col min="6371" max="6371" width="40" style="120" customWidth="1"/>
    <col min="6372" max="6372" width="13.77734375" style="120" customWidth="1"/>
    <col min="6373" max="6373" width="12.88671875" style="120" customWidth="1"/>
    <col min="6374" max="6376" width="11.109375" style="120" customWidth="1"/>
    <col min="6377" max="6377" width="14.33203125" style="120" customWidth="1"/>
    <col min="6378" max="6378" width="11.33203125" style="120" customWidth="1"/>
    <col min="6379" max="6379" width="11.109375" style="120" customWidth="1"/>
    <col min="6380" max="6380" width="11.21875" style="120" customWidth="1"/>
    <col min="6381" max="6625" width="8.88671875" style="120"/>
    <col min="6626" max="6626" width="5.88671875" style="120" customWidth="1"/>
    <col min="6627" max="6627" width="40" style="120" customWidth="1"/>
    <col min="6628" max="6628" width="13.77734375" style="120" customWidth="1"/>
    <col min="6629" max="6629" width="12.88671875" style="120" customWidth="1"/>
    <col min="6630" max="6632" width="11.109375" style="120" customWidth="1"/>
    <col min="6633" max="6633" width="14.33203125" style="120" customWidth="1"/>
    <col min="6634" max="6634" width="11.33203125" style="120" customWidth="1"/>
    <col min="6635" max="6635" width="11.109375" style="120" customWidth="1"/>
    <col min="6636" max="6636" width="11.21875" style="120" customWidth="1"/>
    <col min="6637" max="6881" width="8.88671875" style="120"/>
    <col min="6882" max="6882" width="5.88671875" style="120" customWidth="1"/>
    <col min="6883" max="6883" width="40" style="120" customWidth="1"/>
    <col min="6884" max="6884" width="13.77734375" style="120" customWidth="1"/>
    <col min="6885" max="6885" width="12.88671875" style="120" customWidth="1"/>
    <col min="6886" max="6888" width="11.109375" style="120" customWidth="1"/>
    <col min="6889" max="6889" width="14.33203125" style="120" customWidth="1"/>
    <col min="6890" max="6890" width="11.33203125" style="120" customWidth="1"/>
    <col min="6891" max="6891" width="11.109375" style="120" customWidth="1"/>
    <col min="6892" max="6892" width="11.21875" style="120" customWidth="1"/>
    <col min="6893" max="7137" width="8.88671875" style="120"/>
    <col min="7138" max="7138" width="5.88671875" style="120" customWidth="1"/>
    <col min="7139" max="7139" width="40" style="120" customWidth="1"/>
    <col min="7140" max="7140" width="13.77734375" style="120" customWidth="1"/>
    <col min="7141" max="7141" width="12.88671875" style="120" customWidth="1"/>
    <col min="7142" max="7144" width="11.109375" style="120" customWidth="1"/>
    <col min="7145" max="7145" width="14.33203125" style="120" customWidth="1"/>
    <col min="7146" max="7146" width="11.33203125" style="120" customWidth="1"/>
    <col min="7147" max="7147" width="11.109375" style="120" customWidth="1"/>
    <col min="7148" max="7148" width="11.21875" style="120" customWidth="1"/>
    <col min="7149" max="7393" width="8.88671875" style="120"/>
    <col min="7394" max="7394" width="5.88671875" style="120" customWidth="1"/>
    <col min="7395" max="7395" width="40" style="120" customWidth="1"/>
    <col min="7396" max="7396" width="13.77734375" style="120" customWidth="1"/>
    <col min="7397" max="7397" width="12.88671875" style="120" customWidth="1"/>
    <col min="7398" max="7400" width="11.109375" style="120" customWidth="1"/>
    <col min="7401" max="7401" width="14.33203125" style="120" customWidth="1"/>
    <col min="7402" max="7402" width="11.33203125" style="120" customWidth="1"/>
    <col min="7403" max="7403" width="11.109375" style="120" customWidth="1"/>
    <col min="7404" max="7404" width="11.21875" style="120" customWidth="1"/>
    <col min="7405" max="7649" width="8.88671875" style="120"/>
    <col min="7650" max="7650" width="5.88671875" style="120" customWidth="1"/>
    <col min="7651" max="7651" width="40" style="120" customWidth="1"/>
    <col min="7652" max="7652" width="13.77734375" style="120" customWidth="1"/>
    <col min="7653" max="7653" width="12.88671875" style="120" customWidth="1"/>
    <col min="7654" max="7656" width="11.109375" style="120" customWidth="1"/>
    <col min="7657" max="7657" width="14.33203125" style="120" customWidth="1"/>
    <col min="7658" max="7658" width="11.33203125" style="120" customWidth="1"/>
    <col min="7659" max="7659" width="11.109375" style="120" customWidth="1"/>
    <col min="7660" max="7660" width="11.21875" style="120" customWidth="1"/>
    <col min="7661" max="7905" width="8.88671875" style="120"/>
    <col min="7906" max="7906" width="5.88671875" style="120" customWidth="1"/>
    <col min="7907" max="7907" width="40" style="120" customWidth="1"/>
    <col min="7908" max="7908" width="13.77734375" style="120" customWidth="1"/>
    <col min="7909" max="7909" width="12.88671875" style="120" customWidth="1"/>
    <col min="7910" max="7912" width="11.109375" style="120" customWidth="1"/>
    <col min="7913" max="7913" width="14.33203125" style="120" customWidth="1"/>
    <col min="7914" max="7914" width="11.33203125" style="120" customWidth="1"/>
    <col min="7915" max="7915" width="11.109375" style="120" customWidth="1"/>
    <col min="7916" max="7916" width="11.21875" style="120" customWidth="1"/>
    <col min="7917" max="8161" width="8.88671875" style="120"/>
    <col min="8162" max="8162" width="5.88671875" style="120" customWidth="1"/>
    <col min="8163" max="8163" width="40" style="120" customWidth="1"/>
    <col min="8164" max="8164" width="13.77734375" style="120" customWidth="1"/>
    <col min="8165" max="8165" width="12.88671875" style="120" customWidth="1"/>
    <col min="8166" max="8168" width="11.109375" style="120" customWidth="1"/>
    <col min="8169" max="8169" width="14.33203125" style="120" customWidth="1"/>
    <col min="8170" max="8170" width="11.33203125" style="120" customWidth="1"/>
    <col min="8171" max="8171" width="11.109375" style="120" customWidth="1"/>
    <col min="8172" max="8172" width="11.21875" style="120" customWidth="1"/>
    <col min="8173" max="8417" width="8.88671875" style="120"/>
    <col min="8418" max="8418" width="5.88671875" style="120" customWidth="1"/>
    <col min="8419" max="8419" width="40" style="120" customWidth="1"/>
    <col min="8420" max="8420" width="13.77734375" style="120" customWidth="1"/>
    <col min="8421" max="8421" width="12.88671875" style="120" customWidth="1"/>
    <col min="8422" max="8424" width="11.109375" style="120" customWidth="1"/>
    <col min="8425" max="8425" width="14.33203125" style="120" customWidth="1"/>
    <col min="8426" max="8426" width="11.33203125" style="120" customWidth="1"/>
    <col min="8427" max="8427" width="11.109375" style="120" customWidth="1"/>
    <col min="8428" max="8428" width="11.21875" style="120" customWidth="1"/>
    <col min="8429" max="8673" width="8.88671875" style="120"/>
    <col min="8674" max="8674" width="5.88671875" style="120" customWidth="1"/>
    <col min="8675" max="8675" width="40" style="120" customWidth="1"/>
    <col min="8676" max="8676" width="13.77734375" style="120" customWidth="1"/>
    <col min="8677" max="8677" width="12.88671875" style="120" customWidth="1"/>
    <col min="8678" max="8680" width="11.109375" style="120" customWidth="1"/>
    <col min="8681" max="8681" width="14.33203125" style="120" customWidth="1"/>
    <col min="8682" max="8682" width="11.33203125" style="120" customWidth="1"/>
    <col min="8683" max="8683" width="11.109375" style="120" customWidth="1"/>
    <col min="8684" max="8684" width="11.21875" style="120" customWidth="1"/>
    <col min="8685" max="8929" width="8.88671875" style="120"/>
    <col min="8930" max="8930" width="5.88671875" style="120" customWidth="1"/>
    <col min="8931" max="8931" width="40" style="120" customWidth="1"/>
    <col min="8932" max="8932" width="13.77734375" style="120" customWidth="1"/>
    <col min="8933" max="8933" width="12.88671875" style="120" customWidth="1"/>
    <col min="8934" max="8936" width="11.109375" style="120" customWidth="1"/>
    <col min="8937" max="8937" width="14.33203125" style="120" customWidth="1"/>
    <col min="8938" max="8938" width="11.33203125" style="120" customWidth="1"/>
    <col min="8939" max="8939" width="11.109375" style="120" customWidth="1"/>
    <col min="8940" max="8940" width="11.21875" style="120" customWidth="1"/>
    <col min="8941" max="9185" width="8.88671875" style="120"/>
    <col min="9186" max="9186" width="5.88671875" style="120" customWidth="1"/>
    <col min="9187" max="9187" width="40" style="120" customWidth="1"/>
    <col min="9188" max="9188" width="13.77734375" style="120" customWidth="1"/>
    <col min="9189" max="9189" width="12.88671875" style="120" customWidth="1"/>
    <col min="9190" max="9192" width="11.109375" style="120" customWidth="1"/>
    <col min="9193" max="9193" width="14.33203125" style="120" customWidth="1"/>
    <col min="9194" max="9194" width="11.33203125" style="120" customWidth="1"/>
    <col min="9195" max="9195" width="11.109375" style="120" customWidth="1"/>
    <col min="9196" max="9196" width="11.21875" style="120" customWidth="1"/>
    <col min="9197" max="9441" width="8.88671875" style="120"/>
    <col min="9442" max="9442" width="5.88671875" style="120" customWidth="1"/>
    <col min="9443" max="9443" width="40" style="120" customWidth="1"/>
    <col min="9444" max="9444" width="13.77734375" style="120" customWidth="1"/>
    <col min="9445" max="9445" width="12.88671875" style="120" customWidth="1"/>
    <col min="9446" max="9448" width="11.109375" style="120" customWidth="1"/>
    <col min="9449" max="9449" width="14.33203125" style="120" customWidth="1"/>
    <col min="9450" max="9450" width="11.33203125" style="120" customWidth="1"/>
    <col min="9451" max="9451" width="11.109375" style="120" customWidth="1"/>
    <col min="9452" max="9452" width="11.21875" style="120" customWidth="1"/>
    <col min="9453" max="9697" width="8.88671875" style="120"/>
    <col min="9698" max="9698" width="5.88671875" style="120" customWidth="1"/>
    <col min="9699" max="9699" width="40" style="120" customWidth="1"/>
    <col min="9700" max="9700" width="13.77734375" style="120" customWidth="1"/>
    <col min="9701" max="9701" width="12.88671875" style="120" customWidth="1"/>
    <col min="9702" max="9704" width="11.109375" style="120" customWidth="1"/>
    <col min="9705" max="9705" width="14.33203125" style="120" customWidth="1"/>
    <col min="9706" max="9706" width="11.33203125" style="120" customWidth="1"/>
    <col min="9707" max="9707" width="11.109375" style="120" customWidth="1"/>
    <col min="9708" max="9708" width="11.21875" style="120" customWidth="1"/>
    <col min="9709" max="9953" width="8.88671875" style="120"/>
    <col min="9954" max="9954" width="5.88671875" style="120" customWidth="1"/>
    <col min="9955" max="9955" width="40" style="120" customWidth="1"/>
    <col min="9956" max="9956" width="13.77734375" style="120" customWidth="1"/>
    <col min="9957" max="9957" width="12.88671875" style="120" customWidth="1"/>
    <col min="9958" max="9960" width="11.109375" style="120" customWidth="1"/>
    <col min="9961" max="9961" width="14.33203125" style="120" customWidth="1"/>
    <col min="9962" max="9962" width="11.33203125" style="120" customWidth="1"/>
    <col min="9963" max="9963" width="11.109375" style="120" customWidth="1"/>
    <col min="9964" max="9964" width="11.21875" style="120" customWidth="1"/>
    <col min="9965" max="10209" width="8.88671875" style="120"/>
    <col min="10210" max="10210" width="5.88671875" style="120" customWidth="1"/>
    <col min="10211" max="10211" width="40" style="120" customWidth="1"/>
    <col min="10212" max="10212" width="13.77734375" style="120" customWidth="1"/>
    <col min="10213" max="10213" width="12.88671875" style="120" customWidth="1"/>
    <col min="10214" max="10216" width="11.109375" style="120" customWidth="1"/>
    <col min="10217" max="10217" width="14.33203125" style="120" customWidth="1"/>
    <col min="10218" max="10218" width="11.33203125" style="120" customWidth="1"/>
    <col min="10219" max="10219" width="11.109375" style="120" customWidth="1"/>
    <col min="10220" max="10220" width="11.21875" style="120" customWidth="1"/>
    <col min="10221" max="10465" width="8.88671875" style="120"/>
    <col min="10466" max="10466" width="5.88671875" style="120" customWidth="1"/>
    <col min="10467" max="10467" width="40" style="120" customWidth="1"/>
    <col min="10468" max="10468" width="13.77734375" style="120" customWidth="1"/>
    <col min="10469" max="10469" width="12.88671875" style="120" customWidth="1"/>
    <col min="10470" max="10472" width="11.109375" style="120" customWidth="1"/>
    <col min="10473" max="10473" width="14.33203125" style="120" customWidth="1"/>
    <col min="10474" max="10474" width="11.33203125" style="120" customWidth="1"/>
    <col min="10475" max="10475" width="11.109375" style="120" customWidth="1"/>
    <col min="10476" max="10476" width="11.21875" style="120" customWidth="1"/>
    <col min="10477" max="10721" width="8.88671875" style="120"/>
    <col min="10722" max="10722" width="5.88671875" style="120" customWidth="1"/>
    <col min="10723" max="10723" width="40" style="120" customWidth="1"/>
    <col min="10724" max="10724" width="13.77734375" style="120" customWidth="1"/>
    <col min="10725" max="10725" width="12.88671875" style="120" customWidth="1"/>
    <col min="10726" max="10728" width="11.109375" style="120" customWidth="1"/>
    <col min="10729" max="10729" width="14.33203125" style="120" customWidth="1"/>
    <col min="10730" max="10730" width="11.33203125" style="120" customWidth="1"/>
    <col min="10731" max="10731" width="11.109375" style="120" customWidth="1"/>
    <col min="10732" max="10732" width="11.21875" style="120" customWidth="1"/>
    <col min="10733" max="10977" width="8.88671875" style="120"/>
    <col min="10978" max="10978" width="5.88671875" style="120" customWidth="1"/>
    <col min="10979" max="10979" width="40" style="120" customWidth="1"/>
    <col min="10980" max="10980" width="13.77734375" style="120" customWidth="1"/>
    <col min="10981" max="10981" width="12.88671875" style="120" customWidth="1"/>
    <col min="10982" max="10984" width="11.109375" style="120" customWidth="1"/>
    <col min="10985" max="10985" width="14.33203125" style="120" customWidth="1"/>
    <col min="10986" max="10986" width="11.33203125" style="120" customWidth="1"/>
    <col min="10987" max="10987" width="11.109375" style="120" customWidth="1"/>
    <col min="10988" max="10988" width="11.21875" style="120" customWidth="1"/>
    <col min="10989" max="11233" width="8.88671875" style="120"/>
    <col min="11234" max="11234" width="5.88671875" style="120" customWidth="1"/>
    <col min="11235" max="11235" width="40" style="120" customWidth="1"/>
    <col min="11236" max="11236" width="13.77734375" style="120" customWidth="1"/>
    <col min="11237" max="11237" width="12.88671875" style="120" customWidth="1"/>
    <col min="11238" max="11240" width="11.109375" style="120" customWidth="1"/>
    <col min="11241" max="11241" width="14.33203125" style="120" customWidth="1"/>
    <col min="11242" max="11242" width="11.33203125" style="120" customWidth="1"/>
    <col min="11243" max="11243" width="11.109375" style="120" customWidth="1"/>
    <col min="11244" max="11244" width="11.21875" style="120" customWidth="1"/>
    <col min="11245" max="11489" width="8.88671875" style="120"/>
    <col min="11490" max="11490" width="5.88671875" style="120" customWidth="1"/>
    <col min="11491" max="11491" width="40" style="120" customWidth="1"/>
    <col min="11492" max="11492" width="13.77734375" style="120" customWidth="1"/>
    <col min="11493" max="11493" width="12.88671875" style="120" customWidth="1"/>
    <col min="11494" max="11496" width="11.109375" style="120" customWidth="1"/>
    <col min="11497" max="11497" width="14.33203125" style="120" customWidth="1"/>
    <col min="11498" max="11498" width="11.33203125" style="120" customWidth="1"/>
    <col min="11499" max="11499" width="11.109375" style="120" customWidth="1"/>
    <col min="11500" max="11500" width="11.21875" style="120" customWidth="1"/>
    <col min="11501" max="11745" width="8.88671875" style="120"/>
    <col min="11746" max="11746" width="5.88671875" style="120" customWidth="1"/>
    <col min="11747" max="11747" width="40" style="120" customWidth="1"/>
    <col min="11748" max="11748" width="13.77734375" style="120" customWidth="1"/>
    <col min="11749" max="11749" width="12.88671875" style="120" customWidth="1"/>
    <col min="11750" max="11752" width="11.109375" style="120" customWidth="1"/>
    <col min="11753" max="11753" width="14.33203125" style="120" customWidth="1"/>
    <col min="11754" max="11754" width="11.33203125" style="120" customWidth="1"/>
    <col min="11755" max="11755" width="11.109375" style="120" customWidth="1"/>
    <col min="11756" max="11756" width="11.21875" style="120" customWidth="1"/>
    <col min="11757" max="12001" width="8.88671875" style="120"/>
    <col min="12002" max="12002" width="5.88671875" style="120" customWidth="1"/>
    <col min="12003" max="12003" width="40" style="120" customWidth="1"/>
    <col min="12004" max="12004" width="13.77734375" style="120" customWidth="1"/>
    <col min="12005" max="12005" width="12.88671875" style="120" customWidth="1"/>
    <col min="12006" max="12008" width="11.109375" style="120" customWidth="1"/>
    <col min="12009" max="12009" width="14.33203125" style="120" customWidth="1"/>
    <col min="12010" max="12010" width="11.33203125" style="120" customWidth="1"/>
    <col min="12011" max="12011" width="11.109375" style="120" customWidth="1"/>
    <col min="12012" max="12012" width="11.21875" style="120" customWidth="1"/>
    <col min="12013" max="12257" width="8.88671875" style="120"/>
    <col min="12258" max="12258" width="5.88671875" style="120" customWidth="1"/>
    <col min="12259" max="12259" width="40" style="120" customWidth="1"/>
    <col min="12260" max="12260" width="13.77734375" style="120" customWidth="1"/>
    <col min="12261" max="12261" width="12.88671875" style="120" customWidth="1"/>
    <col min="12262" max="12264" width="11.109375" style="120" customWidth="1"/>
    <col min="12265" max="12265" width="14.33203125" style="120" customWidth="1"/>
    <col min="12266" max="12266" width="11.33203125" style="120" customWidth="1"/>
    <col min="12267" max="12267" width="11.109375" style="120" customWidth="1"/>
    <col min="12268" max="12268" width="11.21875" style="120" customWidth="1"/>
    <col min="12269" max="12513" width="8.88671875" style="120"/>
    <col min="12514" max="12514" width="5.88671875" style="120" customWidth="1"/>
    <col min="12515" max="12515" width="40" style="120" customWidth="1"/>
    <col min="12516" max="12516" width="13.77734375" style="120" customWidth="1"/>
    <col min="12517" max="12517" width="12.88671875" style="120" customWidth="1"/>
    <col min="12518" max="12520" width="11.109375" style="120" customWidth="1"/>
    <col min="12521" max="12521" width="14.33203125" style="120" customWidth="1"/>
    <col min="12522" max="12522" width="11.33203125" style="120" customWidth="1"/>
    <col min="12523" max="12523" width="11.109375" style="120" customWidth="1"/>
    <col min="12524" max="12524" width="11.21875" style="120" customWidth="1"/>
    <col min="12525" max="12769" width="8.88671875" style="120"/>
    <col min="12770" max="12770" width="5.88671875" style="120" customWidth="1"/>
    <col min="12771" max="12771" width="40" style="120" customWidth="1"/>
    <col min="12772" max="12772" width="13.77734375" style="120" customWidth="1"/>
    <col min="12773" max="12773" width="12.88671875" style="120" customWidth="1"/>
    <col min="12774" max="12776" width="11.109375" style="120" customWidth="1"/>
    <col min="12777" max="12777" width="14.33203125" style="120" customWidth="1"/>
    <col min="12778" max="12778" width="11.33203125" style="120" customWidth="1"/>
    <col min="12779" max="12779" width="11.109375" style="120" customWidth="1"/>
    <col min="12780" max="12780" width="11.21875" style="120" customWidth="1"/>
    <col min="12781" max="13025" width="8.88671875" style="120"/>
    <col min="13026" max="13026" width="5.88671875" style="120" customWidth="1"/>
    <col min="13027" max="13027" width="40" style="120" customWidth="1"/>
    <col min="13028" max="13028" width="13.77734375" style="120" customWidth="1"/>
    <col min="13029" max="13029" width="12.88671875" style="120" customWidth="1"/>
    <col min="13030" max="13032" width="11.109375" style="120" customWidth="1"/>
    <col min="13033" max="13033" width="14.33203125" style="120" customWidth="1"/>
    <col min="13034" max="13034" width="11.33203125" style="120" customWidth="1"/>
    <col min="13035" max="13035" width="11.109375" style="120" customWidth="1"/>
    <col min="13036" max="13036" width="11.21875" style="120" customWidth="1"/>
    <col min="13037" max="13281" width="8.88671875" style="120"/>
    <col min="13282" max="13282" width="5.88671875" style="120" customWidth="1"/>
    <col min="13283" max="13283" width="40" style="120" customWidth="1"/>
    <col min="13284" max="13284" width="13.77734375" style="120" customWidth="1"/>
    <col min="13285" max="13285" width="12.88671875" style="120" customWidth="1"/>
    <col min="13286" max="13288" width="11.109375" style="120" customWidth="1"/>
    <col min="13289" max="13289" width="14.33203125" style="120" customWidth="1"/>
    <col min="13290" max="13290" width="11.33203125" style="120" customWidth="1"/>
    <col min="13291" max="13291" width="11.109375" style="120" customWidth="1"/>
    <col min="13292" max="13292" width="11.21875" style="120" customWidth="1"/>
    <col min="13293" max="13537" width="8.88671875" style="120"/>
    <col min="13538" max="13538" width="5.88671875" style="120" customWidth="1"/>
    <col min="13539" max="13539" width="40" style="120" customWidth="1"/>
    <col min="13540" max="13540" width="13.77734375" style="120" customWidth="1"/>
    <col min="13541" max="13541" width="12.88671875" style="120" customWidth="1"/>
    <col min="13542" max="13544" width="11.109375" style="120" customWidth="1"/>
    <col min="13545" max="13545" width="14.33203125" style="120" customWidth="1"/>
    <col min="13546" max="13546" width="11.33203125" style="120" customWidth="1"/>
    <col min="13547" max="13547" width="11.109375" style="120" customWidth="1"/>
    <col min="13548" max="13548" width="11.21875" style="120" customWidth="1"/>
    <col min="13549" max="13793" width="8.88671875" style="120"/>
    <col min="13794" max="13794" width="5.88671875" style="120" customWidth="1"/>
    <col min="13795" max="13795" width="40" style="120" customWidth="1"/>
    <col min="13796" max="13796" width="13.77734375" style="120" customWidth="1"/>
    <col min="13797" max="13797" width="12.88671875" style="120" customWidth="1"/>
    <col min="13798" max="13800" width="11.109375" style="120" customWidth="1"/>
    <col min="13801" max="13801" width="14.33203125" style="120" customWidth="1"/>
    <col min="13802" max="13802" width="11.33203125" style="120" customWidth="1"/>
    <col min="13803" max="13803" width="11.109375" style="120" customWidth="1"/>
    <col min="13804" max="13804" width="11.21875" style="120" customWidth="1"/>
    <col min="13805" max="14049" width="8.88671875" style="120"/>
    <col min="14050" max="14050" width="5.88671875" style="120" customWidth="1"/>
    <col min="14051" max="14051" width="40" style="120" customWidth="1"/>
    <col min="14052" max="14052" width="13.77734375" style="120" customWidth="1"/>
    <col min="14053" max="14053" width="12.88671875" style="120" customWidth="1"/>
    <col min="14054" max="14056" width="11.109375" style="120" customWidth="1"/>
    <col min="14057" max="14057" width="14.33203125" style="120" customWidth="1"/>
    <col min="14058" max="14058" width="11.33203125" style="120" customWidth="1"/>
    <col min="14059" max="14059" width="11.109375" style="120" customWidth="1"/>
    <col min="14060" max="14060" width="11.21875" style="120" customWidth="1"/>
    <col min="14061" max="14305" width="8.88671875" style="120"/>
    <col min="14306" max="14306" width="5.88671875" style="120" customWidth="1"/>
    <col min="14307" max="14307" width="40" style="120" customWidth="1"/>
    <col min="14308" max="14308" width="13.77734375" style="120" customWidth="1"/>
    <col min="14309" max="14309" width="12.88671875" style="120" customWidth="1"/>
    <col min="14310" max="14312" width="11.109375" style="120" customWidth="1"/>
    <col min="14313" max="14313" width="14.33203125" style="120" customWidth="1"/>
    <col min="14314" max="14314" width="11.33203125" style="120" customWidth="1"/>
    <col min="14315" max="14315" width="11.109375" style="120" customWidth="1"/>
    <col min="14316" max="14316" width="11.21875" style="120" customWidth="1"/>
    <col min="14317" max="14561" width="8.88671875" style="120"/>
    <col min="14562" max="14562" width="5.88671875" style="120" customWidth="1"/>
    <col min="14563" max="14563" width="40" style="120" customWidth="1"/>
    <col min="14564" max="14564" width="13.77734375" style="120" customWidth="1"/>
    <col min="14565" max="14565" width="12.88671875" style="120" customWidth="1"/>
    <col min="14566" max="14568" width="11.109375" style="120" customWidth="1"/>
    <col min="14569" max="14569" width="14.33203125" style="120" customWidth="1"/>
    <col min="14570" max="14570" width="11.33203125" style="120" customWidth="1"/>
    <col min="14571" max="14571" width="11.109375" style="120" customWidth="1"/>
    <col min="14572" max="14572" width="11.21875" style="120" customWidth="1"/>
    <col min="14573" max="14817" width="8.88671875" style="120"/>
    <col min="14818" max="14818" width="5.88671875" style="120" customWidth="1"/>
    <col min="14819" max="14819" width="40" style="120" customWidth="1"/>
    <col min="14820" max="14820" width="13.77734375" style="120" customWidth="1"/>
    <col min="14821" max="14821" width="12.88671875" style="120" customWidth="1"/>
    <col min="14822" max="14824" width="11.109375" style="120" customWidth="1"/>
    <col min="14825" max="14825" width="14.33203125" style="120" customWidth="1"/>
    <col min="14826" max="14826" width="11.33203125" style="120" customWidth="1"/>
    <col min="14827" max="14827" width="11.109375" style="120" customWidth="1"/>
    <col min="14828" max="14828" width="11.21875" style="120" customWidth="1"/>
    <col min="14829" max="15073" width="8.88671875" style="120"/>
    <col min="15074" max="15074" width="5.88671875" style="120" customWidth="1"/>
    <col min="15075" max="15075" width="40" style="120" customWidth="1"/>
    <col min="15076" max="15076" width="13.77734375" style="120" customWidth="1"/>
    <col min="15077" max="15077" width="12.88671875" style="120" customWidth="1"/>
    <col min="15078" max="15080" width="11.109375" style="120" customWidth="1"/>
    <col min="15081" max="15081" width="14.33203125" style="120" customWidth="1"/>
    <col min="15082" max="15082" width="11.33203125" style="120" customWidth="1"/>
    <col min="15083" max="15083" width="11.109375" style="120" customWidth="1"/>
    <col min="15084" max="15084" width="11.21875" style="120" customWidth="1"/>
    <col min="15085" max="15329" width="8.88671875" style="120"/>
    <col min="15330" max="15330" width="5.88671875" style="120" customWidth="1"/>
    <col min="15331" max="15331" width="40" style="120" customWidth="1"/>
    <col min="15332" max="15332" width="13.77734375" style="120" customWidth="1"/>
    <col min="15333" max="15333" width="12.88671875" style="120" customWidth="1"/>
    <col min="15334" max="15336" width="11.109375" style="120" customWidth="1"/>
    <col min="15337" max="15337" width="14.33203125" style="120" customWidth="1"/>
    <col min="15338" max="15338" width="11.33203125" style="120" customWidth="1"/>
    <col min="15339" max="15339" width="11.109375" style="120" customWidth="1"/>
    <col min="15340" max="15340" width="11.21875" style="120" customWidth="1"/>
    <col min="15341" max="15585" width="8.88671875" style="120"/>
    <col min="15586" max="15586" width="5.88671875" style="120" customWidth="1"/>
    <col min="15587" max="15587" width="40" style="120" customWidth="1"/>
    <col min="15588" max="15588" width="13.77734375" style="120" customWidth="1"/>
    <col min="15589" max="15589" width="12.88671875" style="120" customWidth="1"/>
    <col min="15590" max="15592" width="11.109375" style="120" customWidth="1"/>
    <col min="15593" max="15593" width="14.33203125" style="120" customWidth="1"/>
    <col min="15594" max="15594" width="11.33203125" style="120" customWidth="1"/>
    <col min="15595" max="15595" width="11.109375" style="120" customWidth="1"/>
    <col min="15596" max="15596" width="11.21875" style="120" customWidth="1"/>
    <col min="15597" max="15841" width="8.88671875" style="120"/>
    <col min="15842" max="15842" width="5.88671875" style="120" customWidth="1"/>
    <col min="15843" max="15843" width="40" style="120" customWidth="1"/>
    <col min="15844" max="15844" width="13.77734375" style="120" customWidth="1"/>
    <col min="15845" max="15845" width="12.88671875" style="120" customWidth="1"/>
    <col min="15846" max="15848" width="11.109375" style="120" customWidth="1"/>
    <col min="15849" max="15849" width="14.33203125" style="120" customWidth="1"/>
    <col min="15850" max="15850" width="11.33203125" style="120" customWidth="1"/>
    <col min="15851" max="15851" width="11.109375" style="120" customWidth="1"/>
    <col min="15852" max="15852" width="11.21875" style="120" customWidth="1"/>
    <col min="15853" max="16097" width="8.88671875" style="120"/>
    <col min="16098" max="16098" width="5.88671875" style="120" customWidth="1"/>
    <col min="16099" max="16099" width="40" style="120" customWidth="1"/>
    <col min="16100" max="16100" width="13.77734375" style="120" customWidth="1"/>
    <col min="16101" max="16101" width="12.88671875" style="120" customWidth="1"/>
    <col min="16102" max="16104" width="11.109375" style="120" customWidth="1"/>
    <col min="16105" max="16105" width="14.33203125" style="120" customWidth="1"/>
    <col min="16106" max="16106" width="11.33203125" style="120" customWidth="1"/>
    <col min="16107" max="16107" width="11.109375" style="120" customWidth="1"/>
    <col min="16108" max="16108" width="11.21875" style="120" customWidth="1"/>
    <col min="16109" max="16384" width="8.88671875" style="120"/>
  </cols>
  <sheetData>
    <row r="1" spans="1:15" ht="13.5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5" x14ac:dyDescent="0.2">
      <c r="A2" s="249" t="str">
        <f>'WS 1 - Wholesale Charges'!A2:P2</f>
        <v>Attachment 2 - Calculations in Support of Schedule 21-VP Rates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x14ac:dyDescent="0.2">
      <c r="A3" s="141" t="s">
        <v>283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">
      <c r="A4" s="141" t="str">
        <f>'WS 1 - Wholesale Charges'!A6</f>
        <v>Implemented Charges Based on 2023 Data and Certain Forecasts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">
      <c r="A5" s="141" t="s">
        <v>284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7" spans="1:15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5" x14ac:dyDescent="0.2">
      <c r="A8" s="121"/>
      <c r="C8" s="122"/>
      <c r="D8" s="121"/>
      <c r="E8" s="121"/>
      <c r="F8" s="121"/>
      <c r="G8" s="121"/>
      <c r="H8" s="121"/>
      <c r="I8" s="121"/>
      <c r="J8" s="121"/>
      <c r="K8" s="121"/>
      <c r="L8" s="121"/>
    </row>
    <row r="9" spans="1:15" x14ac:dyDescent="0.2">
      <c r="A9" s="121"/>
      <c r="B9" s="122"/>
      <c r="C9" s="122"/>
      <c r="D9" s="121"/>
      <c r="E9" s="121"/>
      <c r="F9" s="121"/>
      <c r="G9" s="121"/>
      <c r="H9" s="121"/>
      <c r="I9" s="121"/>
      <c r="J9" s="121"/>
      <c r="K9" s="121"/>
      <c r="L9" s="121"/>
    </row>
    <row r="10" spans="1:15" x14ac:dyDescent="0.2">
      <c r="A10" s="123" t="s">
        <v>22</v>
      </c>
      <c r="B10" s="124"/>
      <c r="C10" s="124"/>
      <c r="D10" s="124"/>
      <c r="E10" s="124"/>
      <c r="F10" s="124"/>
      <c r="G10" s="124"/>
      <c r="J10" s="121"/>
      <c r="K10" s="121"/>
      <c r="L10" s="125"/>
    </row>
    <row r="11" spans="1:15" x14ac:dyDescent="0.2">
      <c r="A11" s="227" t="s">
        <v>285</v>
      </c>
      <c r="B11" s="227" t="s">
        <v>286</v>
      </c>
      <c r="C11" s="126"/>
      <c r="D11" s="125"/>
      <c r="E11" s="125"/>
      <c r="F11" s="125"/>
      <c r="G11" s="125"/>
      <c r="J11" s="227" t="s">
        <v>67</v>
      </c>
      <c r="K11" s="123"/>
      <c r="L11" s="227" t="s">
        <v>176</v>
      </c>
    </row>
    <row r="12" spans="1:15" x14ac:dyDescent="0.2">
      <c r="A12" s="127">
        <v>1</v>
      </c>
      <c r="B12" s="124" t="s">
        <v>287</v>
      </c>
      <c r="C12" s="124"/>
      <c r="E12" s="124"/>
      <c r="H12" s="125"/>
      <c r="I12" s="125"/>
      <c r="J12" s="167">
        <v>-34175268.918448001</v>
      </c>
      <c r="K12" s="167"/>
      <c r="L12" s="124" t="s">
        <v>288</v>
      </c>
    </row>
    <row r="13" spans="1:15" x14ac:dyDescent="0.2">
      <c r="A13" s="127">
        <f>A12+1</f>
        <v>2</v>
      </c>
      <c r="B13" s="129" t="s">
        <v>212</v>
      </c>
      <c r="C13" s="129"/>
      <c r="E13" s="124"/>
      <c r="H13" s="125"/>
      <c r="I13" s="125"/>
      <c r="J13" s="228"/>
      <c r="K13" s="167"/>
      <c r="L13" s="124" t="s">
        <v>45</v>
      </c>
    </row>
    <row r="14" spans="1:15" x14ac:dyDescent="0.2">
      <c r="A14" s="127">
        <f>A13+1</f>
        <v>3</v>
      </c>
      <c r="B14" s="124" t="s">
        <v>289</v>
      </c>
      <c r="C14" s="124"/>
      <c r="E14" s="124"/>
      <c r="H14" s="125"/>
      <c r="I14" s="125"/>
      <c r="J14" s="167">
        <f>J12-J13</f>
        <v>-34175268.918448001</v>
      </c>
      <c r="K14" s="167"/>
      <c r="L14" s="124"/>
    </row>
    <row r="15" spans="1:15" x14ac:dyDescent="0.2">
      <c r="A15" s="127">
        <f>A14+1</f>
        <v>4</v>
      </c>
      <c r="B15" s="124" t="s">
        <v>290</v>
      </c>
      <c r="C15" s="124"/>
      <c r="E15" s="124"/>
      <c r="H15" s="125"/>
      <c r="I15" s="125"/>
      <c r="J15" s="168">
        <f>'WS 8 - ISO Invoices'!O43</f>
        <v>36334915.193643898</v>
      </c>
      <c r="K15" s="168"/>
      <c r="L15" s="169" t="s">
        <v>179</v>
      </c>
    </row>
    <row r="16" spans="1:15" ht="13.5" thickBot="1" x14ac:dyDescent="0.25">
      <c r="A16" s="127">
        <f>A15+1</f>
        <v>5</v>
      </c>
      <c r="B16" s="124" t="s">
        <v>291</v>
      </c>
      <c r="C16" s="124"/>
      <c r="E16" s="124"/>
      <c r="H16" s="125"/>
      <c r="I16" s="125"/>
      <c r="J16" s="229">
        <f>J14+J15</f>
        <v>2159646.2751958966</v>
      </c>
      <c r="K16" s="128"/>
    </row>
    <row r="17" spans="1:11" ht="13.5" thickTop="1" x14ac:dyDescent="0.2">
      <c r="A17" s="127"/>
      <c r="B17" s="124"/>
      <c r="C17" s="124"/>
      <c r="D17" s="124"/>
      <c r="E17" s="124"/>
      <c r="H17" s="125"/>
      <c r="I17" s="125"/>
      <c r="J17" s="128"/>
      <c r="K17" s="128"/>
    </row>
    <row r="18" spans="1:11" x14ac:dyDescent="0.2">
      <c r="A18" s="127" t="s">
        <v>292</v>
      </c>
      <c r="B18" s="124"/>
      <c r="C18" s="124"/>
      <c r="D18" s="124"/>
      <c r="E18" s="124"/>
      <c r="F18" s="124"/>
      <c r="G18" s="124"/>
      <c r="H18" s="125"/>
      <c r="I18" s="125"/>
      <c r="J18" s="128"/>
      <c r="K18" s="128"/>
    </row>
    <row r="19" spans="1:11" x14ac:dyDescent="0.2">
      <c r="A19" s="127"/>
      <c r="B19" s="254" t="s">
        <v>293</v>
      </c>
      <c r="C19" s="255"/>
      <c r="D19" s="256"/>
      <c r="E19" s="123"/>
      <c r="F19" s="127" t="s">
        <v>294</v>
      </c>
      <c r="G19" s="127"/>
      <c r="H19" s="127" t="s">
        <v>295</v>
      </c>
      <c r="I19" s="127"/>
      <c r="J19" s="127" t="s">
        <v>296</v>
      </c>
      <c r="K19" s="121"/>
    </row>
    <row r="20" spans="1:11" x14ac:dyDescent="0.2">
      <c r="A20" s="127" t="s">
        <v>292</v>
      </c>
      <c r="E20" s="123"/>
      <c r="F20" s="125"/>
      <c r="G20" s="125"/>
      <c r="H20" s="123" t="s">
        <v>297</v>
      </c>
      <c r="I20" s="123"/>
      <c r="J20" s="123"/>
      <c r="K20" s="125"/>
    </row>
    <row r="21" spans="1:11" x14ac:dyDescent="0.2">
      <c r="A21" s="127"/>
      <c r="B21" s="227" t="s">
        <v>84</v>
      </c>
      <c r="C21" s="123"/>
      <c r="D21" s="227" t="s">
        <v>298</v>
      </c>
      <c r="E21" s="123"/>
      <c r="F21" s="227" t="s">
        <v>299</v>
      </c>
      <c r="G21" s="125"/>
      <c r="H21" s="230" t="s">
        <v>300</v>
      </c>
      <c r="I21" s="130"/>
      <c r="J21" s="227" t="s">
        <v>301</v>
      </c>
      <c r="K21" s="125"/>
    </row>
    <row r="22" spans="1:11" ht="13.15" customHeight="1" x14ac:dyDescent="0.2">
      <c r="A22" s="127">
        <f>A16+1</f>
        <v>6</v>
      </c>
      <c r="B22" s="125" t="s">
        <v>86</v>
      </c>
      <c r="C22" s="125"/>
      <c r="D22" s="125">
        <f>'WS 13 True-up Interest -Sch1'!D21</f>
        <v>2023</v>
      </c>
      <c r="E22" s="125"/>
      <c r="F22" s="131">
        <f>J16</f>
        <v>2159646.2751958966</v>
      </c>
      <c r="G22" s="131"/>
      <c r="H22" s="170">
        <f>'WS 13 True-up Interest -Sch1'!H21</f>
        <v>5.4000000000000003E-3</v>
      </c>
      <c r="I22" s="132" t="s">
        <v>302</v>
      </c>
      <c r="J22" s="133">
        <f>F22*H22</f>
        <v>11662.089886057842</v>
      </c>
      <c r="K22" s="133"/>
    </row>
    <row r="23" spans="1:11" ht="13.15" customHeight="1" x14ac:dyDescent="0.2">
      <c r="A23" s="127">
        <f>A22+1</f>
        <v>7</v>
      </c>
      <c r="B23" s="125" t="s">
        <v>88</v>
      </c>
      <c r="C23" s="125"/>
      <c r="D23" s="125">
        <f>IF(ISNUMBER($D$22),$D$22,"")</f>
        <v>2023</v>
      </c>
      <c r="E23" s="125"/>
      <c r="F23" s="131">
        <f>+F22</f>
        <v>2159646.2751958966</v>
      </c>
      <c r="G23" s="131"/>
      <c r="H23" s="170">
        <f>'WS 13 True-up Interest -Sch1'!H22</f>
        <v>4.7999999999999996E-3</v>
      </c>
      <c r="I23" s="132" t="s">
        <v>302</v>
      </c>
      <c r="J23" s="133">
        <f>F23*H23</f>
        <v>10366.302120940303</v>
      </c>
      <c r="K23" s="133"/>
    </row>
    <row r="24" spans="1:11" ht="13.15" customHeight="1" x14ac:dyDescent="0.2">
      <c r="A24" s="127">
        <f>A23+1</f>
        <v>8</v>
      </c>
      <c r="B24" s="125" t="s">
        <v>89</v>
      </c>
      <c r="C24" s="125"/>
      <c r="D24" s="125">
        <f>+$D$23</f>
        <v>2023</v>
      </c>
      <c r="E24" s="125"/>
      <c r="F24" s="131">
        <f>+F23</f>
        <v>2159646.2751958966</v>
      </c>
      <c r="G24" s="131"/>
      <c r="H24" s="170">
        <f>'WS 13 True-up Interest -Sch1'!H23</f>
        <v>5.4000000000000003E-3</v>
      </c>
      <c r="I24" s="132" t="s">
        <v>302</v>
      </c>
      <c r="J24" s="133">
        <f>F24*H24</f>
        <v>11662.089886057842</v>
      </c>
      <c r="K24" s="133"/>
    </row>
    <row r="25" spans="1:11" ht="13.15" customHeight="1" x14ac:dyDescent="0.2">
      <c r="A25" s="127"/>
      <c r="B25" s="125"/>
      <c r="C25" s="125"/>
      <c r="D25" s="125"/>
      <c r="E25" s="125"/>
      <c r="F25" s="131"/>
      <c r="G25" s="131"/>
      <c r="H25" s="171"/>
      <c r="I25" s="135"/>
      <c r="J25" s="133"/>
      <c r="K25" s="133"/>
    </row>
    <row r="26" spans="1:11" ht="13.15" customHeight="1" x14ac:dyDescent="0.2">
      <c r="A26" s="127">
        <f>A24+1</f>
        <v>9</v>
      </c>
      <c r="B26" s="125" t="s">
        <v>90</v>
      </c>
      <c r="C26" s="125"/>
      <c r="D26" s="125">
        <f>+$D$23</f>
        <v>2023</v>
      </c>
      <c r="E26" s="125"/>
      <c r="F26" s="131">
        <f>+F24+J24+J23+J22</f>
        <v>2193336.7570889522</v>
      </c>
      <c r="G26" s="131"/>
      <c r="H26" s="170">
        <f>'WS 13 True-up Interest -Sch1'!H25</f>
        <v>6.1999999999999998E-3</v>
      </c>
      <c r="I26" s="132" t="s">
        <v>302</v>
      </c>
      <c r="J26" s="133">
        <f>F26*H26</f>
        <v>13598.687893951503</v>
      </c>
      <c r="K26" s="133"/>
    </row>
    <row r="27" spans="1:11" ht="13.15" customHeight="1" x14ac:dyDescent="0.2">
      <c r="A27" s="127">
        <f>A26+1</f>
        <v>10</v>
      </c>
      <c r="B27" s="125" t="s">
        <v>91</v>
      </c>
      <c r="C27" s="125"/>
      <c r="D27" s="125">
        <f>+$D$23</f>
        <v>2023</v>
      </c>
      <c r="E27" s="125"/>
      <c r="F27" s="131">
        <f>+F26</f>
        <v>2193336.7570889522</v>
      </c>
      <c r="G27" s="131"/>
      <c r="H27" s="170">
        <f>'WS 13 True-up Interest -Sch1'!H26</f>
        <v>6.4000000000000003E-3</v>
      </c>
      <c r="I27" s="132" t="s">
        <v>302</v>
      </c>
      <c r="J27" s="133">
        <f>F27*H27</f>
        <v>14037.355245369296</v>
      </c>
      <c r="K27" s="133"/>
    </row>
    <row r="28" spans="1:11" x14ac:dyDescent="0.2">
      <c r="A28" s="127">
        <f>A27+1</f>
        <v>11</v>
      </c>
      <c r="B28" s="125" t="s">
        <v>92</v>
      </c>
      <c r="C28" s="125"/>
      <c r="D28" s="125">
        <f>+$D$23</f>
        <v>2023</v>
      </c>
      <c r="E28" s="125"/>
      <c r="F28" s="131">
        <f>+F27</f>
        <v>2193336.7570889522</v>
      </c>
      <c r="G28" s="131"/>
      <c r="H28" s="170">
        <f>'WS 13 True-up Interest -Sch1'!H27</f>
        <v>6.1999999999999998E-3</v>
      </c>
      <c r="I28" s="132" t="s">
        <v>302</v>
      </c>
      <c r="J28" s="133">
        <f>F28*H28</f>
        <v>13598.687893951503</v>
      </c>
      <c r="K28" s="133"/>
    </row>
    <row r="29" spans="1:11" x14ac:dyDescent="0.2">
      <c r="A29" s="127"/>
      <c r="B29" s="125"/>
      <c r="C29" s="125"/>
      <c r="D29" s="125"/>
      <c r="E29" s="125"/>
      <c r="F29" s="131"/>
      <c r="G29" s="131"/>
      <c r="H29" s="171"/>
      <c r="I29" s="135"/>
      <c r="J29" s="133"/>
      <c r="K29" s="133"/>
    </row>
    <row r="30" spans="1:11" x14ac:dyDescent="0.2">
      <c r="A30" s="127">
        <f>A28+1</f>
        <v>12</v>
      </c>
      <c r="B30" s="125" t="s">
        <v>93</v>
      </c>
      <c r="C30" s="125"/>
      <c r="D30" s="125">
        <f>+$D$23</f>
        <v>2023</v>
      </c>
      <c r="E30" s="125"/>
      <c r="F30" s="131">
        <f>+F28+J28+J27+J26</f>
        <v>2234571.4881222243</v>
      </c>
      <c r="G30" s="131"/>
      <c r="H30" s="170">
        <f>'WS 13 True-up Interest -Sch1'!H29</f>
        <v>6.7999999999999996E-3</v>
      </c>
      <c r="I30" s="132" t="s">
        <v>302</v>
      </c>
      <c r="J30" s="133">
        <f>F30*H30</f>
        <v>15195.086119231124</v>
      </c>
      <c r="K30" s="133"/>
    </row>
    <row r="31" spans="1:11" x14ac:dyDescent="0.2">
      <c r="A31" s="127">
        <f>A30+1</f>
        <v>13</v>
      </c>
      <c r="B31" s="125" t="s">
        <v>94</v>
      </c>
      <c r="C31" s="125"/>
      <c r="D31" s="125">
        <f>+$D$23</f>
        <v>2023</v>
      </c>
      <c r="E31" s="125"/>
      <c r="F31" s="131">
        <f>+F30</f>
        <v>2234571.4881222243</v>
      </c>
      <c r="G31" s="131"/>
      <c r="H31" s="170">
        <f>'WS 13 True-up Interest -Sch1'!H30</f>
        <v>6.7999999999999996E-3</v>
      </c>
      <c r="I31" s="132" t="s">
        <v>302</v>
      </c>
      <c r="J31" s="133">
        <f>F31*H31</f>
        <v>15195.086119231124</v>
      </c>
      <c r="K31" s="133"/>
    </row>
    <row r="32" spans="1:11" x14ac:dyDescent="0.2">
      <c r="A32" s="127">
        <f>A31+1</f>
        <v>14</v>
      </c>
      <c r="B32" s="125" t="s">
        <v>95</v>
      </c>
      <c r="C32" s="125"/>
      <c r="D32" s="125">
        <f>+$D$23</f>
        <v>2023</v>
      </c>
      <c r="E32" s="125"/>
      <c r="F32" s="131">
        <f>+F31</f>
        <v>2234571.4881222243</v>
      </c>
      <c r="G32" s="131"/>
      <c r="H32" s="170">
        <f>'WS 13 True-up Interest -Sch1'!H31</f>
        <v>6.6E-3</v>
      </c>
      <c r="I32" s="132" t="s">
        <v>302</v>
      </c>
      <c r="J32" s="133">
        <f>F32*H32</f>
        <v>14748.17182160668</v>
      </c>
      <c r="K32" s="133"/>
    </row>
    <row r="33" spans="1:11" x14ac:dyDescent="0.2">
      <c r="A33" s="127"/>
      <c r="B33" s="125"/>
      <c r="C33" s="125"/>
      <c r="D33" s="125"/>
      <c r="E33" s="125"/>
      <c r="F33" s="131"/>
      <c r="G33" s="131"/>
      <c r="H33" s="171"/>
      <c r="I33" s="135"/>
      <c r="J33" s="133"/>
      <c r="K33" s="133"/>
    </row>
    <row r="34" spans="1:11" x14ac:dyDescent="0.2">
      <c r="A34" s="127">
        <f>A32+1</f>
        <v>15</v>
      </c>
      <c r="B34" s="125" t="s">
        <v>96</v>
      </c>
      <c r="C34" s="125"/>
      <c r="D34" s="125">
        <f>+$D$23</f>
        <v>2023</v>
      </c>
      <c r="E34" s="125"/>
      <c r="F34" s="131">
        <f>+F32+J32+J31+J30</f>
        <v>2279709.8321822938</v>
      </c>
      <c r="G34" s="131"/>
      <c r="H34" s="170">
        <f>'WS 13 True-up Interest -Sch1'!H33</f>
        <v>7.1000000000000004E-3</v>
      </c>
      <c r="I34" s="132" t="s">
        <v>302</v>
      </c>
      <c r="J34" s="133">
        <f>F34*H34</f>
        <v>16185.939808494286</v>
      </c>
      <c r="K34" s="133"/>
    </row>
    <row r="35" spans="1:11" x14ac:dyDescent="0.2">
      <c r="A35" s="127">
        <f>A34+1</f>
        <v>16</v>
      </c>
      <c r="B35" s="125" t="s">
        <v>97</v>
      </c>
      <c r="C35" s="125"/>
      <c r="D35" s="125">
        <f>+$D$23</f>
        <v>2023</v>
      </c>
      <c r="E35" s="125"/>
      <c r="F35" s="131">
        <f>+F34</f>
        <v>2279709.8321822938</v>
      </c>
      <c r="G35" s="131"/>
      <c r="H35" s="170">
        <f>'WS 13 True-up Interest -Sch1'!H34</f>
        <v>6.8999999999999999E-3</v>
      </c>
      <c r="I35" s="132" t="s">
        <v>302</v>
      </c>
      <c r="J35" s="133">
        <f>F35*H35</f>
        <v>15729.997842057826</v>
      </c>
      <c r="K35" s="133"/>
    </row>
    <row r="36" spans="1:11" x14ac:dyDescent="0.2">
      <c r="A36" s="127">
        <f>A35+1</f>
        <v>17</v>
      </c>
      <c r="B36" s="125" t="s">
        <v>98</v>
      </c>
      <c r="C36" s="125"/>
      <c r="D36" s="125">
        <f>+$D$23</f>
        <v>2023</v>
      </c>
      <c r="E36" s="125"/>
      <c r="F36" s="131">
        <f>+F35</f>
        <v>2279709.8321822938</v>
      </c>
      <c r="G36" s="131"/>
      <c r="H36" s="170">
        <f>'WS 13 True-up Interest -Sch1'!H35</f>
        <v>7.1000000000000004E-3</v>
      </c>
      <c r="I36" s="132" t="s">
        <v>302</v>
      </c>
      <c r="J36" s="133">
        <f>F36*H36</f>
        <v>16185.939808494286</v>
      </c>
      <c r="K36" s="133"/>
    </row>
    <row r="37" spans="1:11" x14ac:dyDescent="0.2">
      <c r="A37" s="127"/>
      <c r="B37" s="125"/>
      <c r="C37" s="125"/>
      <c r="D37" s="125"/>
      <c r="E37" s="125"/>
      <c r="F37" s="131"/>
      <c r="G37" s="131"/>
      <c r="H37" s="170"/>
      <c r="I37" s="135"/>
      <c r="J37" s="133"/>
      <c r="K37" s="133"/>
    </row>
    <row r="38" spans="1:11" ht="13.15" customHeight="1" x14ac:dyDescent="0.2">
      <c r="A38" s="127">
        <f>A36+1</f>
        <v>18</v>
      </c>
      <c r="B38" s="125" t="s">
        <v>86</v>
      </c>
      <c r="C38" s="125"/>
      <c r="D38" s="125">
        <f>IF(ISNUMBER($D$22),D22+1,"")</f>
        <v>2024</v>
      </c>
      <c r="E38" s="125"/>
      <c r="F38" s="131">
        <f>+F36+J36+J35+J34</f>
        <v>2327811.7096413402</v>
      </c>
      <c r="G38" s="131"/>
      <c r="H38" s="170">
        <f>'WS 13 True-up Interest -Sch1'!H37</f>
        <v>7.1999999999999998E-3</v>
      </c>
      <c r="I38" s="132" t="s">
        <v>302</v>
      </c>
      <c r="J38" s="133">
        <f>F38*H38</f>
        <v>16760.244309417649</v>
      </c>
      <c r="K38" s="133"/>
    </row>
    <row r="39" spans="1:11" ht="13.15" customHeight="1" x14ac:dyDescent="0.2">
      <c r="A39" s="127">
        <f>A38+1</f>
        <v>19</v>
      </c>
      <c r="B39" s="125" t="s">
        <v>88</v>
      </c>
      <c r="C39" s="125"/>
      <c r="D39" s="125">
        <f>$D$38</f>
        <v>2024</v>
      </c>
      <c r="E39" s="125"/>
      <c r="F39" s="131">
        <f>+F38</f>
        <v>2327811.7096413402</v>
      </c>
      <c r="G39" s="131"/>
      <c r="H39" s="170">
        <f>'WS 13 True-up Interest -Sch1'!H38</f>
        <v>6.7999999999999996E-3</v>
      </c>
      <c r="I39" s="132" t="s">
        <v>302</v>
      </c>
      <c r="J39" s="133">
        <f>F39*H39</f>
        <v>15829.119625561112</v>
      </c>
      <c r="K39" s="133"/>
    </row>
    <row r="40" spans="1:11" ht="13.15" customHeight="1" x14ac:dyDescent="0.2">
      <c r="A40" s="127">
        <f>A39+1</f>
        <v>20</v>
      </c>
      <c r="B40" s="125" t="s">
        <v>89</v>
      </c>
      <c r="C40" s="125"/>
      <c r="D40" s="125">
        <f>$D$38</f>
        <v>2024</v>
      </c>
      <c r="E40" s="125"/>
      <c r="F40" s="131">
        <f>+F39</f>
        <v>2327811.7096413402</v>
      </c>
      <c r="G40" s="131"/>
      <c r="H40" s="170">
        <f>'WS 13 True-up Interest -Sch1'!H39</f>
        <v>7.1999999999999998E-3</v>
      </c>
      <c r="I40" s="132" t="s">
        <v>302</v>
      </c>
      <c r="J40" s="133">
        <f>F40*H40</f>
        <v>16760.244309417649</v>
      </c>
      <c r="K40" s="133"/>
    </row>
    <row r="41" spans="1:11" ht="13.15" customHeight="1" x14ac:dyDescent="0.2">
      <c r="A41" s="127"/>
      <c r="B41" s="125"/>
      <c r="C41" s="125"/>
      <c r="D41" s="125"/>
      <c r="E41" s="125"/>
      <c r="F41" s="131"/>
      <c r="G41" s="131"/>
      <c r="H41" s="171"/>
      <c r="I41" s="135"/>
      <c r="J41" s="133"/>
      <c r="K41" s="133"/>
    </row>
    <row r="42" spans="1:11" ht="13.15" customHeight="1" x14ac:dyDescent="0.2">
      <c r="A42" s="127">
        <f>A40+1</f>
        <v>21</v>
      </c>
      <c r="B42" s="125" t="s">
        <v>90</v>
      </c>
      <c r="C42" s="125"/>
      <c r="D42" s="125">
        <f>$D$38</f>
        <v>2024</v>
      </c>
      <c r="E42" s="125"/>
      <c r="F42" s="131">
        <f>+F40+J40+J39+J38</f>
        <v>2377161.317885736</v>
      </c>
      <c r="G42" s="131"/>
      <c r="H42" s="170">
        <f>'WS 13 True-up Interest -Sch1'!H41</f>
        <v>7.0000000000000001E-3</v>
      </c>
      <c r="I42" s="132" t="s">
        <v>302</v>
      </c>
      <c r="J42" s="133">
        <f>F42*H42</f>
        <v>16640.129225200151</v>
      </c>
      <c r="K42" s="133"/>
    </row>
    <row r="43" spans="1:11" ht="13.15" customHeight="1" x14ac:dyDescent="0.2">
      <c r="A43" s="127">
        <f>A42+1</f>
        <v>22</v>
      </c>
      <c r="B43" s="125" t="s">
        <v>91</v>
      </c>
      <c r="C43" s="125"/>
      <c r="D43" s="125">
        <f>$D$38</f>
        <v>2024</v>
      </c>
      <c r="E43" s="125"/>
      <c r="F43" s="131">
        <f>+F42</f>
        <v>2377161.317885736</v>
      </c>
      <c r="G43" s="131"/>
      <c r="H43" s="170">
        <f>'WS 13 True-up Interest -Sch1'!H42</f>
        <v>7.0000000000000001E-3</v>
      </c>
      <c r="I43" s="132" t="s">
        <v>302</v>
      </c>
      <c r="J43" s="133">
        <f>F43*H43</f>
        <v>16640.129225200151</v>
      </c>
      <c r="K43" s="133"/>
    </row>
    <row r="44" spans="1:11" x14ac:dyDescent="0.2">
      <c r="A44" s="127">
        <f>A43+1</f>
        <v>23</v>
      </c>
      <c r="B44" s="125" t="s">
        <v>92</v>
      </c>
      <c r="C44" s="125"/>
      <c r="D44" s="125">
        <f>$D$38</f>
        <v>2024</v>
      </c>
      <c r="E44" s="125"/>
      <c r="F44" s="131">
        <f>+F43</f>
        <v>2377161.317885736</v>
      </c>
      <c r="G44" s="131"/>
      <c r="H44" s="134">
        <f>$H$60</f>
        <v>6.5235294117647067E-3</v>
      </c>
      <c r="I44" s="132" t="s">
        <v>303</v>
      </c>
      <c r="J44" s="133">
        <f>F44*H44</f>
        <v>15507.48177373695</v>
      </c>
      <c r="K44" s="133"/>
    </row>
    <row r="45" spans="1:11" x14ac:dyDescent="0.2">
      <c r="A45" s="127"/>
      <c r="B45" s="125"/>
      <c r="C45" s="125"/>
      <c r="D45" s="125"/>
      <c r="E45" s="125"/>
      <c r="F45" s="131"/>
      <c r="G45" s="131"/>
      <c r="H45" s="134"/>
      <c r="I45" s="135"/>
      <c r="J45" s="133"/>
      <c r="K45" s="133"/>
    </row>
    <row r="46" spans="1:11" x14ac:dyDescent="0.2">
      <c r="A46" s="127">
        <f>A44+1</f>
        <v>24</v>
      </c>
      <c r="B46" s="125" t="s">
        <v>93</v>
      </c>
      <c r="C46" s="125"/>
      <c r="D46" s="125">
        <f>$D$38</f>
        <v>2024</v>
      </c>
      <c r="E46" s="125"/>
      <c r="F46" s="131">
        <f>+F44+J44+J43+J42</f>
        <v>2425949.058109873</v>
      </c>
      <c r="G46" s="131"/>
      <c r="H46" s="134">
        <f>$H$60</f>
        <v>6.5235294117647067E-3</v>
      </c>
      <c r="I46" s="132" t="s">
        <v>303</v>
      </c>
      <c r="J46" s="133">
        <f>F46*H46</f>
        <v>15825.750032022645</v>
      </c>
      <c r="K46" s="133"/>
    </row>
    <row r="47" spans="1:11" x14ac:dyDescent="0.2">
      <c r="A47" s="127">
        <f>A46+1</f>
        <v>25</v>
      </c>
      <c r="B47" s="125" t="s">
        <v>94</v>
      </c>
      <c r="C47" s="125"/>
      <c r="D47" s="125">
        <f>$D$38</f>
        <v>2024</v>
      </c>
      <c r="E47" s="125"/>
      <c r="F47" s="131">
        <f>+F46</f>
        <v>2425949.058109873</v>
      </c>
      <c r="G47" s="131"/>
      <c r="H47" s="134">
        <f>$H$60</f>
        <v>6.5235294117647067E-3</v>
      </c>
      <c r="I47" s="132" t="s">
        <v>303</v>
      </c>
      <c r="J47" s="133">
        <f>F47*H47</f>
        <v>15825.750032022645</v>
      </c>
      <c r="K47" s="133"/>
    </row>
    <row r="48" spans="1:11" x14ac:dyDescent="0.2">
      <c r="A48" s="127">
        <f>A47+1</f>
        <v>26</v>
      </c>
      <c r="B48" s="125" t="s">
        <v>95</v>
      </c>
      <c r="C48" s="125"/>
      <c r="D48" s="125">
        <f>$D$38</f>
        <v>2024</v>
      </c>
      <c r="E48" s="125"/>
      <c r="F48" s="131">
        <f>+F47</f>
        <v>2425949.058109873</v>
      </c>
      <c r="G48" s="131"/>
      <c r="H48" s="134">
        <f>$H$60</f>
        <v>6.5235294117647067E-3</v>
      </c>
      <c r="I48" s="132" t="s">
        <v>303</v>
      </c>
      <c r="J48" s="133">
        <f>F48*H48</f>
        <v>15825.750032022645</v>
      </c>
      <c r="K48" s="133"/>
    </row>
    <row r="49" spans="1:11" x14ac:dyDescent="0.2">
      <c r="A49" s="127"/>
      <c r="B49" s="125"/>
      <c r="C49" s="125"/>
      <c r="D49" s="125"/>
      <c r="E49" s="125"/>
      <c r="F49" s="131"/>
      <c r="G49" s="131"/>
      <c r="H49" s="134"/>
      <c r="I49" s="135"/>
      <c r="J49" s="133"/>
      <c r="K49" s="133"/>
    </row>
    <row r="50" spans="1:11" x14ac:dyDescent="0.2">
      <c r="A50" s="127">
        <f>A48+1</f>
        <v>27</v>
      </c>
      <c r="B50" s="125" t="s">
        <v>96</v>
      </c>
      <c r="C50" s="125"/>
      <c r="D50" s="125">
        <f>$D$38</f>
        <v>2024</v>
      </c>
      <c r="E50" s="125"/>
      <c r="F50" s="131">
        <f>+F48+J48+J47+J46</f>
        <v>2473426.3082059408</v>
      </c>
      <c r="G50" s="131"/>
      <c r="H50" s="134">
        <f>$H$60</f>
        <v>6.5235294117647067E-3</v>
      </c>
      <c r="I50" s="132" t="s">
        <v>303</v>
      </c>
      <c r="J50" s="133">
        <f>F50*H50</f>
        <v>16135.46926941405</v>
      </c>
      <c r="K50" s="133"/>
    </row>
    <row r="51" spans="1:11" x14ac:dyDescent="0.2">
      <c r="A51" s="127">
        <f>A50+1</f>
        <v>28</v>
      </c>
      <c r="B51" s="125" t="s">
        <v>97</v>
      </c>
      <c r="C51" s="125"/>
      <c r="D51" s="125">
        <f>$D$38</f>
        <v>2024</v>
      </c>
      <c r="E51" s="125"/>
      <c r="F51" s="131">
        <f>+F50</f>
        <v>2473426.3082059408</v>
      </c>
      <c r="G51" s="131"/>
      <c r="H51" s="134">
        <f>$H$60</f>
        <v>6.5235294117647067E-3</v>
      </c>
      <c r="I51" s="132" t="s">
        <v>303</v>
      </c>
      <c r="J51" s="133">
        <f>F51*H51</f>
        <v>16135.46926941405</v>
      </c>
      <c r="K51" s="133"/>
    </row>
    <row r="52" spans="1:11" x14ac:dyDescent="0.2">
      <c r="A52" s="127">
        <f>A51+1</f>
        <v>29</v>
      </c>
      <c r="B52" s="125" t="s">
        <v>98</v>
      </c>
      <c r="C52" s="125"/>
      <c r="D52" s="125">
        <f>$D$38</f>
        <v>2024</v>
      </c>
      <c r="E52" s="125"/>
      <c r="F52" s="131">
        <f>+F51</f>
        <v>2473426.3082059408</v>
      </c>
      <c r="G52" s="131"/>
      <c r="H52" s="134">
        <f>$H$60</f>
        <v>6.5235294117647067E-3</v>
      </c>
      <c r="I52" s="132" t="s">
        <v>303</v>
      </c>
      <c r="J52" s="133">
        <f>F52*H52</f>
        <v>16135.46926941405</v>
      </c>
      <c r="K52" s="133"/>
    </row>
    <row r="53" spans="1:11" x14ac:dyDescent="0.2">
      <c r="A53" s="127">
        <f>A52+1</f>
        <v>30</v>
      </c>
      <c r="D53" s="124"/>
      <c r="E53" s="124"/>
      <c r="H53" s="136" t="s">
        <v>304</v>
      </c>
      <c r="J53" s="231">
        <f>SUM(J22:J52)</f>
        <v>362186.44081828732</v>
      </c>
      <c r="K53" s="137"/>
    </row>
    <row r="54" spans="1:11" x14ac:dyDescent="0.2">
      <c r="A54" s="127">
        <f>A53+1</f>
        <v>31</v>
      </c>
      <c r="H54" s="136" t="s">
        <v>305</v>
      </c>
      <c r="J54" s="138">
        <f>J16</f>
        <v>2159646.2751958966</v>
      </c>
      <c r="K54" s="138"/>
    </row>
    <row r="55" spans="1:11" ht="13.5" thickBot="1" x14ac:dyDescent="0.25">
      <c r="A55" s="127">
        <f>A54+1</f>
        <v>32</v>
      </c>
      <c r="H55" s="136" t="s">
        <v>306</v>
      </c>
      <c r="J55" s="232">
        <f>+J53+J54</f>
        <v>2521832.7160141841</v>
      </c>
      <c r="K55" s="137"/>
    </row>
    <row r="56" spans="1:11" ht="13.5" thickTop="1" x14ac:dyDescent="0.2">
      <c r="A56" s="127"/>
      <c r="H56" s="136"/>
      <c r="J56" s="137"/>
      <c r="K56" s="137"/>
    </row>
    <row r="57" spans="1:11" x14ac:dyDescent="0.2">
      <c r="A57" s="139" t="s">
        <v>307</v>
      </c>
      <c r="J57" s="137"/>
      <c r="K57" s="137"/>
    </row>
    <row r="58" spans="1:11" x14ac:dyDescent="0.2">
      <c r="A58" s="132" t="s">
        <v>308</v>
      </c>
      <c r="B58" s="120" t="s">
        <v>309</v>
      </c>
      <c r="J58" s="137"/>
      <c r="K58" s="137"/>
    </row>
    <row r="59" spans="1:11" x14ac:dyDescent="0.2">
      <c r="A59" s="132" t="s">
        <v>302</v>
      </c>
      <c r="B59" s="120" t="s">
        <v>310</v>
      </c>
      <c r="J59" s="137"/>
      <c r="K59" s="137"/>
    </row>
    <row r="60" spans="1:11" x14ac:dyDescent="0.2">
      <c r="A60" s="132" t="s">
        <v>303</v>
      </c>
      <c r="B60" s="120" t="s">
        <v>311</v>
      </c>
      <c r="H60" s="233">
        <f>AVERAGE(H22:H24,H26:H28,H30:H32,H34:H36,H38:H40,H42:H43)</f>
        <v>6.5235294117647067E-3</v>
      </c>
      <c r="J60" s="137"/>
      <c r="K60" s="137"/>
    </row>
    <row r="61" spans="1:11" x14ac:dyDescent="0.2">
      <c r="A61" s="127"/>
      <c r="B61" s="120" t="s">
        <v>312</v>
      </c>
      <c r="J61" s="137"/>
      <c r="K61" s="137"/>
    </row>
    <row r="62" spans="1:11" x14ac:dyDescent="0.2">
      <c r="B62" s="120" t="s">
        <v>313</v>
      </c>
    </row>
  </sheetData>
  <mergeCells count="2">
    <mergeCell ref="B19:D19"/>
    <mergeCell ref="A2:O2"/>
  </mergeCells>
  <pageMargins left="0.22" right="0.28000000000000003" top="0.75" bottom="0.75" header="0.3" footer="0.3"/>
  <pageSetup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3E17-C5F6-4AA7-A91C-FCCF16108239}">
  <sheetPr>
    <pageSetUpPr fitToPage="1"/>
  </sheetPr>
  <dimension ref="A1:O61"/>
  <sheetViews>
    <sheetView view="pageBreakPreview" topLeftCell="A3" zoomScale="115" zoomScaleNormal="100" zoomScaleSheetLayoutView="115" workbookViewId="0">
      <selection activeCell="L22" sqref="L22"/>
    </sheetView>
  </sheetViews>
  <sheetFormatPr defaultRowHeight="12.75" x14ac:dyDescent="0.2"/>
  <cols>
    <col min="1" max="1" width="4.6640625" style="120" customWidth="1"/>
    <col min="2" max="2" width="26" style="120" customWidth="1"/>
    <col min="3" max="3" width="2" style="120" customWidth="1"/>
    <col min="4" max="4" width="6.5546875" style="120" customWidth="1"/>
    <col min="5" max="5" width="2" style="120" customWidth="1"/>
    <col min="6" max="6" width="13.5546875" style="120" customWidth="1"/>
    <col min="7" max="7" width="2" style="120" customWidth="1"/>
    <col min="8" max="8" width="10.5546875" style="120" customWidth="1"/>
    <col min="9" max="9" width="2.5546875" style="120" customWidth="1"/>
    <col min="10" max="10" width="16.88671875" style="140" customWidth="1"/>
    <col min="11" max="11" width="1.88671875" style="140" customWidth="1"/>
    <col min="12" max="12" width="36" style="120" customWidth="1"/>
    <col min="13" max="13" width="9.5546875" style="120" customWidth="1"/>
    <col min="14" max="225" width="8.88671875" style="120"/>
    <col min="226" max="226" width="5.88671875" style="120" customWidth="1"/>
    <col min="227" max="227" width="40" style="120" customWidth="1"/>
    <col min="228" max="228" width="13.77734375" style="120" customWidth="1"/>
    <col min="229" max="229" width="12.88671875" style="120" customWidth="1"/>
    <col min="230" max="232" width="11.109375" style="120" customWidth="1"/>
    <col min="233" max="233" width="14.33203125" style="120" customWidth="1"/>
    <col min="234" max="234" width="11.33203125" style="120" customWidth="1"/>
    <col min="235" max="235" width="11.109375" style="120" customWidth="1"/>
    <col min="236" max="236" width="11.21875" style="120" customWidth="1"/>
    <col min="237" max="481" width="8.88671875" style="120"/>
    <col min="482" max="482" width="5.88671875" style="120" customWidth="1"/>
    <col min="483" max="483" width="40" style="120" customWidth="1"/>
    <col min="484" max="484" width="13.77734375" style="120" customWidth="1"/>
    <col min="485" max="485" width="12.88671875" style="120" customWidth="1"/>
    <col min="486" max="488" width="11.109375" style="120" customWidth="1"/>
    <col min="489" max="489" width="14.33203125" style="120" customWidth="1"/>
    <col min="490" max="490" width="11.33203125" style="120" customWidth="1"/>
    <col min="491" max="491" width="11.109375" style="120" customWidth="1"/>
    <col min="492" max="492" width="11.21875" style="120" customWidth="1"/>
    <col min="493" max="737" width="8.88671875" style="120"/>
    <col min="738" max="738" width="5.88671875" style="120" customWidth="1"/>
    <col min="739" max="739" width="40" style="120" customWidth="1"/>
    <col min="740" max="740" width="13.77734375" style="120" customWidth="1"/>
    <col min="741" max="741" width="12.88671875" style="120" customWidth="1"/>
    <col min="742" max="744" width="11.109375" style="120" customWidth="1"/>
    <col min="745" max="745" width="14.33203125" style="120" customWidth="1"/>
    <col min="746" max="746" width="11.33203125" style="120" customWidth="1"/>
    <col min="747" max="747" width="11.109375" style="120" customWidth="1"/>
    <col min="748" max="748" width="11.21875" style="120" customWidth="1"/>
    <col min="749" max="993" width="8.88671875" style="120"/>
    <col min="994" max="994" width="5.88671875" style="120" customWidth="1"/>
    <col min="995" max="995" width="40" style="120" customWidth="1"/>
    <col min="996" max="996" width="13.77734375" style="120" customWidth="1"/>
    <col min="997" max="997" width="12.88671875" style="120" customWidth="1"/>
    <col min="998" max="1000" width="11.109375" style="120" customWidth="1"/>
    <col min="1001" max="1001" width="14.33203125" style="120" customWidth="1"/>
    <col min="1002" max="1002" width="11.33203125" style="120" customWidth="1"/>
    <col min="1003" max="1003" width="11.109375" style="120" customWidth="1"/>
    <col min="1004" max="1004" width="11.21875" style="120" customWidth="1"/>
    <col min="1005" max="1249" width="8.88671875" style="120"/>
    <col min="1250" max="1250" width="5.88671875" style="120" customWidth="1"/>
    <col min="1251" max="1251" width="40" style="120" customWidth="1"/>
    <col min="1252" max="1252" width="13.77734375" style="120" customWidth="1"/>
    <col min="1253" max="1253" width="12.88671875" style="120" customWidth="1"/>
    <col min="1254" max="1256" width="11.109375" style="120" customWidth="1"/>
    <col min="1257" max="1257" width="14.33203125" style="120" customWidth="1"/>
    <col min="1258" max="1258" width="11.33203125" style="120" customWidth="1"/>
    <col min="1259" max="1259" width="11.109375" style="120" customWidth="1"/>
    <col min="1260" max="1260" width="11.21875" style="120" customWidth="1"/>
    <col min="1261" max="1505" width="8.88671875" style="120"/>
    <col min="1506" max="1506" width="5.88671875" style="120" customWidth="1"/>
    <col min="1507" max="1507" width="40" style="120" customWidth="1"/>
    <col min="1508" max="1508" width="13.77734375" style="120" customWidth="1"/>
    <col min="1509" max="1509" width="12.88671875" style="120" customWidth="1"/>
    <col min="1510" max="1512" width="11.109375" style="120" customWidth="1"/>
    <col min="1513" max="1513" width="14.33203125" style="120" customWidth="1"/>
    <col min="1514" max="1514" width="11.33203125" style="120" customWidth="1"/>
    <col min="1515" max="1515" width="11.109375" style="120" customWidth="1"/>
    <col min="1516" max="1516" width="11.21875" style="120" customWidth="1"/>
    <col min="1517" max="1761" width="8.88671875" style="120"/>
    <col min="1762" max="1762" width="5.88671875" style="120" customWidth="1"/>
    <col min="1763" max="1763" width="40" style="120" customWidth="1"/>
    <col min="1764" max="1764" width="13.77734375" style="120" customWidth="1"/>
    <col min="1765" max="1765" width="12.88671875" style="120" customWidth="1"/>
    <col min="1766" max="1768" width="11.109375" style="120" customWidth="1"/>
    <col min="1769" max="1769" width="14.33203125" style="120" customWidth="1"/>
    <col min="1770" max="1770" width="11.33203125" style="120" customWidth="1"/>
    <col min="1771" max="1771" width="11.109375" style="120" customWidth="1"/>
    <col min="1772" max="1772" width="11.21875" style="120" customWidth="1"/>
    <col min="1773" max="2017" width="8.88671875" style="120"/>
    <col min="2018" max="2018" width="5.88671875" style="120" customWidth="1"/>
    <col min="2019" max="2019" width="40" style="120" customWidth="1"/>
    <col min="2020" max="2020" width="13.77734375" style="120" customWidth="1"/>
    <col min="2021" max="2021" width="12.88671875" style="120" customWidth="1"/>
    <col min="2022" max="2024" width="11.109375" style="120" customWidth="1"/>
    <col min="2025" max="2025" width="14.33203125" style="120" customWidth="1"/>
    <col min="2026" max="2026" width="11.33203125" style="120" customWidth="1"/>
    <col min="2027" max="2027" width="11.109375" style="120" customWidth="1"/>
    <col min="2028" max="2028" width="11.21875" style="120" customWidth="1"/>
    <col min="2029" max="2273" width="8.88671875" style="120"/>
    <col min="2274" max="2274" width="5.88671875" style="120" customWidth="1"/>
    <col min="2275" max="2275" width="40" style="120" customWidth="1"/>
    <col min="2276" max="2276" width="13.77734375" style="120" customWidth="1"/>
    <col min="2277" max="2277" width="12.88671875" style="120" customWidth="1"/>
    <col min="2278" max="2280" width="11.109375" style="120" customWidth="1"/>
    <col min="2281" max="2281" width="14.33203125" style="120" customWidth="1"/>
    <col min="2282" max="2282" width="11.33203125" style="120" customWidth="1"/>
    <col min="2283" max="2283" width="11.109375" style="120" customWidth="1"/>
    <col min="2284" max="2284" width="11.21875" style="120" customWidth="1"/>
    <col min="2285" max="2529" width="8.88671875" style="120"/>
    <col min="2530" max="2530" width="5.88671875" style="120" customWidth="1"/>
    <col min="2531" max="2531" width="40" style="120" customWidth="1"/>
    <col min="2532" max="2532" width="13.77734375" style="120" customWidth="1"/>
    <col min="2533" max="2533" width="12.88671875" style="120" customWidth="1"/>
    <col min="2534" max="2536" width="11.109375" style="120" customWidth="1"/>
    <col min="2537" max="2537" width="14.33203125" style="120" customWidth="1"/>
    <col min="2538" max="2538" width="11.33203125" style="120" customWidth="1"/>
    <col min="2539" max="2539" width="11.109375" style="120" customWidth="1"/>
    <col min="2540" max="2540" width="11.21875" style="120" customWidth="1"/>
    <col min="2541" max="2785" width="8.88671875" style="120"/>
    <col min="2786" max="2786" width="5.88671875" style="120" customWidth="1"/>
    <col min="2787" max="2787" width="40" style="120" customWidth="1"/>
    <col min="2788" max="2788" width="13.77734375" style="120" customWidth="1"/>
    <col min="2789" max="2789" width="12.88671875" style="120" customWidth="1"/>
    <col min="2790" max="2792" width="11.109375" style="120" customWidth="1"/>
    <col min="2793" max="2793" width="14.33203125" style="120" customWidth="1"/>
    <col min="2794" max="2794" width="11.33203125" style="120" customWidth="1"/>
    <col min="2795" max="2795" width="11.109375" style="120" customWidth="1"/>
    <col min="2796" max="2796" width="11.21875" style="120" customWidth="1"/>
    <col min="2797" max="3041" width="8.88671875" style="120"/>
    <col min="3042" max="3042" width="5.88671875" style="120" customWidth="1"/>
    <col min="3043" max="3043" width="40" style="120" customWidth="1"/>
    <col min="3044" max="3044" width="13.77734375" style="120" customWidth="1"/>
    <col min="3045" max="3045" width="12.88671875" style="120" customWidth="1"/>
    <col min="3046" max="3048" width="11.109375" style="120" customWidth="1"/>
    <col min="3049" max="3049" width="14.33203125" style="120" customWidth="1"/>
    <col min="3050" max="3050" width="11.33203125" style="120" customWidth="1"/>
    <col min="3051" max="3051" width="11.109375" style="120" customWidth="1"/>
    <col min="3052" max="3052" width="11.21875" style="120" customWidth="1"/>
    <col min="3053" max="3297" width="8.88671875" style="120"/>
    <col min="3298" max="3298" width="5.88671875" style="120" customWidth="1"/>
    <col min="3299" max="3299" width="40" style="120" customWidth="1"/>
    <col min="3300" max="3300" width="13.77734375" style="120" customWidth="1"/>
    <col min="3301" max="3301" width="12.88671875" style="120" customWidth="1"/>
    <col min="3302" max="3304" width="11.109375" style="120" customWidth="1"/>
    <col min="3305" max="3305" width="14.33203125" style="120" customWidth="1"/>
    <col min="3306" max="3306" width="11.33203125" style="120" customWidth="1"/>
    <col min="3307" max="3307" width="11.109375" style="120" customWidth="1"/>
    <col min="3308" max="3308" width="11.21875" style="120" customWidth="1"/>
    <col min="3309" max="3553" width="8.88671875" style="120"/>
    <col min="3554" max="3554" width="5.88671875" style="120" customWidth="1"/>
    <col min="3555" max="3555" width="40" style="120" customWidth="1"/>
    <col min="3556" max="3556" width="13.77734375" style="120" customWidth="1"/>
    <col min="3557" max="3557" width="12.88671875" style="120" customWidth="1"/>
    <col min="3558" max="3560" width="11.109375" style="120" customWidth="1"/>
    <col min="3561" max="3561" width="14.33203125" style="120" customWidth="1"/>
    <col min="3562" max="3562" width="11.33203125" style="120" customWidth="1"/>
    <col min="3563" max="3563" width="11.109375" style="120" customWidth="1"/>
    <col min="3564" max="3564" width="11.21875" style="120" customWidth="1"/>
    <col min="3565" max="3809" width="8.88671875" style="120"/>
    <col min="3810" max="3810" width="5.88671875" style="120" customWidth="1"/>
    <col min="3811" max="3811" width="40" style="120" customWidth="1"/>
    <col min="3812" max="3812" width="13.77734375" style="120" customWidth="1"/>
    <col min="3813" max="3813" width="12.88671875" style="120" customWidth="1"/>
    <col min="3814" max="3816" width="11.109375" style="120" customWidth="1"/>
    <col min="3817" max="3817" width="14.33203125" style="120" customWidth="1"/>
    <col min="3818" max="3818" width="11.33203125" style="120" customWidth="1"/>
    <col min="3819" max="3819" width="11.109375" style="120" customWidth="1"/>
    <col min="3820" max="3820" width="11.21875" style="120" customWidth="1"/>
    <col min="3821" max="4065" width="8.88671875" style="120"/>
    <col min="4066" max="4066" width="5.88671875" style="120" customWidth="1"/>
    <col min="4067" max="4067" width="40" style="120" customWidth="1"/>
    <col min="4068" max="4068" width="13.77734375" style="120" customWidth="1"/>
    <col min="4069" max="4069" width="12.88671875" style="120" customWidth="1"/>
    <col min="4070" max="4072" width="11.109375" style="120" customWidth="1"/>
    <col min="4073" max="4073" width="14.33203125" style="120" customWidth="1"/>
    <col min="4074" max="4074" width="11.33203125" style="120" customWidth="1"/>
    <col min="4075" max="4075" width="11.109375" style="120" customWidth="1"/>
    <col min="4076" max="4076" width="11.21875" style="120" customWidth="1"/>
    <col min="4077" max="4321" width="8.88671875" style="120"/>
    <col min="4322" max="4322" width="5.88671875" style="120" customWidth="1"/>
    <col min="4323" max="4323" width="40" style="120" customWidth="1"/>
    <col min="4324" max="4324" width="13.77734375" style="120" customWidth="1"/>
    <col min="4325" max="4325" width="12.88671875" style="120" customWidth="1"/>
    <col min="4326" max="4328" width="11.109375" style="120" customWidth="1"/>
    <col min="4329" max="4329" width="14.33203125" style="120" customWidth="1"/>
    <col min="4330" max="4330" width="11.33203125" style="120" customWidth="1"/>
    <col min="4331" max="4331" width="11.109375" style="120" customWidth="1"/>
    <col min="4332" max="4332" width="11.21875" style="120" customWidth="1"/>
    <col min="4333" max="4577" width="8.88671875" style="120"/>
    <col min="4578" max="4578" width="5.88671875" style="120" customWidth="1"/>
    <col min="4579" max="4579" width="40" style="120" customWidth="1"/>
    <col min="4580" max="4580" width="13.77734375" style="120" customWidth="1"/>
    <col min="4581" max="4581" width="12.88671875" style="120" customWidth="1"/>
    <col min="4582" max="4584" width="11.109375" style="120" customWidth="1"/>
    <col min="4585" max="4585" width="14.33203125" style="120" customWidth="1"/>
    <col min="4586" max="4586" width="11.33203125" style="120" customWidth="1"/>
    <col min="4587" max="4587" width="11.109375" style="120" customWidth="1"/>
    <col min="4588" max="4588" width="11.21875" style="120" customWidth="1"/>
    <col min="4589" max="4833" width="8.88671875" style="120"/>
    <col min="4834" max="4834" width="5.88671875" style="120" customWidth="1"/>
    <col min="4835" max="4835" width="40" style="120" customWidth="1"/>
    <col min="4836" max="4836" width="13.77734375" style="120" customWidth="1"/>
    <col min="4837" max="4837" width="12.88671875" style="120" customWidth="1"/>
    <col min="4838" max="4840" width="11.109375" style="120" customWidth="1"/>
    <col min="4841" max="4841" width="14.33203125" style="120" customWidth="1"/>
    <col min="4842" max="4842" width="11.33203125" style="120" customWidth="1"/>
    <col min="4843" max="4843" width="11.109375" style="120" customWidth="1"/>
    <col min="4844" max="4844" width="11.21875" style="120" customWidth="1"/>
    <col min="4845" max="5089" width="8.88671875" style="120"/>
    <col min="5090" max="5090" width="5.88671875" style="120" customWidth="1"/>
    <col min="5091" max="5091" width="40" style="120" customWidth="1"/>
    <col min="5092" max="5092" width="13.77734375" style="120" customWidth="1"/>
    <col min="5093" max="5093" width="12.88671875" style="120" customWidth="1"/>
    <col min="5094" max="5096" width="11.109375" style="120" customWidth="1"/>
    <col min="5097" max="5097" width="14.33203125" style="120" customWidth="1"/>
    <col min="5098" max="5098" width="11.33203125" style="120" customWidth="1"/>
    <col min="5099" max="5099" width="11.109375" style="120" customWidth="1"/>
    <col min="5100" max="5100" width="11.21875" style="120" customWidth="1"/>
    <col min="5101" max="5345" width="8.88671875" style="120"/>
    <col min="5346" max="5346" width="5.88671875" style="120" customWidth="1"/>
    <col min="5347" max="5347" width="40" style="120" customWidth="1"/>
    <col min="5348" max="5348" width="13.77734375" style="120" customWidth="1"/>
    <col min="5349" max="5349" width="12.88671875" style="120" customWidth="1"/>
    <col min="5350" max="5352" width="11.109375" style="120" customWidth="1"/>
    <col min="5353" max="5353" width="14.33203125" style="120" customWidth="1"/>
    <col min="5354" max="5354" width="11.33203125" style="120" customWidth="1"/>
    <col min="5355" max="5355" width="11.109375" style="120" customWidth="1"/>
    <col min="5356" max="5356" width="11.21875" style="120" customWidth="1"/>
    <col min="5357" max="5601" width="8.88671875" style="120"/>
    <col min="5602" max="5602" width="5.88671875" style="120" customWidth="1"/>
    <col min="5603" max="5603" width="40" style="120" customWidth="1"/>
    <col min="5604" max="5604" width="13.77734375" style="120" customWidth="1"/>
    <col min="5605" max="5605" width="12.88671875" style="120" customWidth="1"/>
    <col min="5606" max="5608" width="11.109375" style="120" customWidth="1"/>
    <col min="5609" max="5609" width="14.33203125" style="120" customWidth="1"/>
    <col min="5610" max="5610" width="11.33203125" style="120" customWidth="1"/>
    <col min="5611" max="5611" width="11.109375" style="120" customWidth="1"/>
    <col min="5612" max="5612" width="11.21875" style="120" customWidth="1"/>
    <col min="5613" max="5857" width="8.88671875" style="120"/>
    <col min="5858" max="5858" width="5.88671875" style="120" customWidth="1"/>
    <col min="5859" max="5859" width="40" style="120" customWidth="1"/>
    <col min="5860" max="5860" width="13.77734375" style="120" customWidth="1"/>
    <col min="5861" max="5861" width="12.88671875" style="120" customWidth="1"/>
    <col min="5862" max="5864" width="11.109375" style="120" customWidth="1"/>
    <col min="5865" max="5865" width="14.33203125" style="120" customWidth="1"/>
    <col min="5866" max="5866" width="11.33203125" style="120" customWidth="1"/>
    <col min="5867" max="5867" width="11.109375" style="120" customWidth="1"/>
    <col min="5868" max="5868" width="11.21875" style="120" customWidth="1"/>
    <col min="5869" max="6113" width="8.88671875" style="120"/>
    <col min="6114" max="6114" width="5.88671875" style="120" customWidth="1"/>
    <col min="6115" max="6115" width="40" style="120" customWidth="1"/>
    <col min="6116" max="6116" width="13.77734375" style="120" customWidth="1"/>
    <col min="6117" max="6117" width="12.88671875" style="120" customWidth="1"/>
    <col min="6118" max="6120" width="11.109375" style="120" customWidth="1"/>
    <col min="6121" max="6121" width="14.33203125" style="120" customWidth="1"/>
    <col min="6122" max="6122" width="11.33203125" style="120" customWidth="1"/>
    <col min="6123" max="6123" width="11.109375" style="120" customWidth="1"/>
    <col min="6124" max="6124" width="11.21875" style="120" customWidth="1"/>
    <col min="6125" max="6369" width="8.88671875" style="120"/>
    <col min="6370" max="6370" width="5.88671875" style="120" customWidth="1"/>
    <col min="6371" max="6371" width="40" style="120" customWidth="1"/>
    <col min="6372" max="6372" width="13.77734375" style="120" customWidth="1"/>
    <col min="6373" max="6373" width="12.88671875" style="120" customWidth="1"/>
    <col min="6374" max="6376" width="11.109375" style="120" customWidth="1"/>
    <col min="6377" max="6377" width="14.33203125" style="120" customWidth="1"/>
    <col min="6378" max="6378" width="11.33203125" style="120" customWidth="1"/>
    <col min="6379" max="6379" width="11.109375" style="120" customWidth="1"/>
    <col min="6380" max="6380" width="11.21875" style="120" customWidth="1"/>
    <col min="6381" max="6625" width="8.88671875" style="120"/>
    <col min="6626" max="6626" width="5.88671875" style="120" customWidth="1"/>
    <col min="6627" max="6627" width="40" style="120" customWidth="1"/>
    <col min="6628" max="6628" width="13.77734375" style="120" customWidth="1"/>
    <col min="6629" max="6629" width="12.88671875" style="120" customWidth="1"/>
    <col min="6630" max="6632" width="11.109375" style="120" customWidth="1"/>
    <col min="6633" max="6633" width="14.33203125" style="120" customWidth="1"/>
    <col min="6634" max="6634" width="11.33203125" style="120" customWidth="1"/>
    <col min="6635" max="6635" width="11.109375" style="120" customWidth="1"/>
    <col min="6636" max="6636" width="11.21875" style="120" customWidth="1"/>
    <col min="6637" max="6881" width="8.88671875" style="120"/>
    <col min="6882" max="6882" width="5.88671875" style="120" customWidth="1"/>
    <col min="6883" max="6883" width="40" style="120" customWidth="1"/>
    <col min="6884" max="6884" width="13.77734375" style="120" customWidth="1"/>
    <col min="6885" max="6885" width="12.88671875" style="120" customWidth="1"/>
    <col min="6886" max="6888" width="11.109375" style="120" customWidth="1"/>
    <col min="6889" max="6889" width="14.33203125" style="120" customWidth="1"/>
    <col min="6890" max="6890" width="11.33203125" style="120" customWidth="1"/>
    <col min="6891" max="6891" width="11.109375" style="120" customWidth="1"/>
    <col min="6892" max="6892" width="11.21875" style="120" customWidth="1"/>
    <col min="6893" max="7137" width="8.88671875" style="120"/>
    <col min="7138" max="7138" width="5.88671875" style="120" customWidth="1"/>
    <col min="7139" max="7139" width="40" style="120" customWidth="1"/>
    <col min="7140" max="7140" width="13.77734375" style="120" customWidth="1"/>
    <col min="7141" max="7141" width="12.88671875" style="120" customWidth="1"/>
    <col min="7142" max="7144" width="11.109375" style="120" customWidth="1"/>
    <col min="7145" max="7145" width="14.33203125" style="120" customWidth="1"/>
    <col min="7146" max="7146" width="11.33203125" style="120" customWidth="1"/>
    <col min="7147" max="7147" width="11.109375" style="120" customWidth="1"/>
    <col min="7148" max="7148" width="11.21875" style="120" customWidth="1"/>
    <col min="7149" max="7393" width="8.88671875" style="120"/>
    <col min="7394" max="7394" width="5.88671875" style="120" customWidth="1"/>
    <col min="7395" max="7395" width="40" style="120" customWidth="1"/>
    <col min="7396" max="7396" width="13.77734375" style="120" customWidth="1"/>
    <col min="7397" max="7397" width="12.88671875" style="120" customWidth="1"/>
    <col min="7398" max="7400" width="11.109375" style="120" customWidth="1"/>
    <col min="7401" max="7401" width="14.33203125" style="120" customWidth="1"/>
    <col min="7402" max="7402" width="11.33203125" style="120" customWidth="1"/>
    <col min="7403" max="7403" width="11.109375" style="120" customWidth="1"/>
    <col min="7404" max="7404" width="11.21875" style="120" customWidth="1"/>
    <col min="7405" max="7649" width="8.88671875" style="120"/>
    <col min="7650" max="7650" width="5.88671875" style="120" customWidth="1"/>
    <col min="7651" max="7651" width="40" style="120" customWidth="1"/>
    <col min="7652" max="7652" width="13.77734375" style="120" customWidth="1"/>
    <col min="7653" max="7653" width="12.88671875" style="120" customWidth="1"/>
    <col min="7654" max="7656" width="11.109375" style="120" customWidth="1"/>
    <col min="7657" max="7657" width="14.33203125" style="120" customWidth="1"/>
    <col min="7658" max="7658" width="11.33203125" style="120" customWidth="1"/>
    <col min="7659" max="7659" width="11.109375" style="120" customWidth="1"/>
    <col min="7660" max="7660" width="11.21875" style="120" customWidth="1"/>
    <col min="7661" max="7905" width="8.88671875" style="120"/>
    <col min="7906" max="7906" width="5.88671875" style="120" customWidth="1"/>
    <col min="7907" max="7907" width="40" style="120" customWidth="1"/>
    <col min="7908" max="7908" width="13.77734375" style="120" customWidth="1"/>
    <col min="7909" max="7909" width="12.88671875" style="120" customWidth="1"/>
    <col min="7910" max="7912" width="11.109375" style="120" customWidth="1"/>
    <col min="7913" max="7913" width="14.33203125" style="120" customWidth="1"/>
    <col min="7914" max="7914" width="11.33203125" style="120" customWidth="1"/>
    <col min="7915" max="7915" width="11.109375" style="120" customWidth="1"/>
    <col min="7916" max="7916" width="11.21875" style="120" customWidth="1"/>
    <col min="7917" max="8161" width="8.88671875" style="120"/>
    <col min="8162" max="8162" width="5.88671875" style="120" customWidth="1"/>
    <col min="8163" max="8163" width="40" style="120" customWidth="1"/>
    <col min="8164" max="8164" width="13.77734375" style="120" customWidth="1"/>
    <col min="8165" max="8165" width="12.88671875" style="120" customWidth="1"/>
    <col min="8166" max="8168" width="11.109375" style="120" customWidth="1"/>
    <col min="8169" max="8169" width="14.33203125" style="120" customWidth="1"/>
    <col min="8170" max="8170" width="11.33203125" style="120" customWidth="1"/>
    <col min="8171" max="8171" width="11.109375" style="120" customWidth="1"/>
    <col min="8172" max="8172" width="11.21875" style="120" customWidth="1"/>
    <col min="8173" max="8417" width="8.88671875" style="120"/>
    <col min="8418" max="8418" width="5.88671875" style="120" customWidth="1"/>
    <col min="8419" max="8419" width="40" style="120" customWidth="1"/>
    <col min="8420" max="8420" width="13.77734375" style="120" customWidth="1"/>
    <col min="8421" max="8421" width="12.88671875" style="120" customWidth="1"/>
    <col min="8422" max="8424" width="11.109375" style="120" customWidth="1"/>
    <col min="8425" max="8425" width="14.33203125" style="120" customWidth="1"/>
    <col min="8426" max="8426" width="11.33203125" style="120" customWidth="1"/>
    <col min="8427" max="8427" width="11.109375" style="120" customWidth="1"/>
    <col min="8428" max="8428" width="11.21875" style="120" customWidth="1"/>
    <col min="8429" max="8673" width="8.88671875" style="120"/>
    <col min="8674" max="8674" width="5.88671875" style="120" customWidth="1"/>
    <col min="8675" max="8675" width="40" style="120" customWidth="1"/>
    <col min="8676" max="8676" width="13.77734375" style="120" customWidth="1"/>
    <col min="8677" max="8677" width="12.88671875" style="120" customWidth="1"/>
    <col min="8678" max="8680" width="11.109375" style="120" customWidth="1"/>
    <col min="8681" max="8681" width="14.33203125" style="120" customWidth="1"/>
    <col min="8682" max="8682" width="11.33203125" style="120" customWidth="1"/>
    <col min="8683" max="8683" width="11.109375" style="120" customWidth="1"/>
    <col min="8684" max="8684" width="11.21875" style="120" customWidth="1"/>
    <col min="8685" max="8929" width="8.88671875" style="120"/>
    <col min="8930" max="8930" width="5.88671875" style="120" customWidth="1"/>
    <col min="8931" max="8931" width="40" style="120" customWidth="1"/>
    <col min="8932" max="8932" width="13.77734375" style="120" customWidth="1"/>
    <col min="8933" max="8933" width="12.88671875" style="120" customWidth="1"/>
    <col min="8934" max="8936" width="11.109375" style="120" customWidth="1"/>
    <col min="8937" max="8937" width="14.33203125" style="120" customWidth="1"/>
    <col min="8938" max="8938" width="11.33203125" style="120" customWidth="1"/>
    <col min="8939" max="8939" width="11.109375" style="120" customWidth="1"/>
    <col min="8940" max="8940" width="11.21875" style="120" customWidth="1"/>
    <col min="8941" max="9185" width="8.88671875" style="120"/>
    <col min="9186" max="9186" width="5.88671875" style="120" customWidth="1"/>
    <col min="9187" max="9187" width="40" style="120" customWidth="1"/>
    <col min="9188" max="9188" width="13.77734375" style="120" customWidth="1"/>
    <col min="9189" max="9189" width="12.88671875" style="120" customWidth="1"/>
    <col min="9190" max="9192" width="11.109375" style="120" customWidth="1"/>
    <col min="9193" max="9193" width="14.33203125" style="120" customWidth="1"/>
    <col min="9194" max="9194" width="11.33203125" style="120" customWidth="1"/>
    <col min="9195" max="9195" width="11.109375" style="120" customWidth="1"/>
    <col min="9196" max="9196" width="11.21875" style="120" customWidth="1"/>
    <col min="9197" max="9441" width="8.88671875" style="120"/>
    <col min="9442" max="9442" width="5.88671875" style="120" customWidth="1"/>
    <col min="9443" max="9443" width="40" style="120" customWidth="1"/>
    <col min="9444" max="9444" width="13.77734375" style="120" customWidth="1"/>
    <col min="9445" max="9445" width="12.88671875" style="120" customWidth="1"/>
    <col min="9446" max="9448" width="11.109375" style="120" customWidth="1"/>
    <col min="9449" max="9449" width="14.33203125" style="120" customWidth="1"/>
    <col min="9450" max="9450" width="11.33203125" style="120" customWidth="1"/>
    <col min="9451" max="9451" width="11.109375" style="120" customWidth="1"/>
    <col min="9452" max="9452" width="11.21875" style="120" customWidth="1"/>
    <col min="9453" max="9697" width="8.88671875" style="120"/>
    <col min="9698" max="9698" width="5.88671875" style="120" customWidth="1"/>
    <col min="9699" max="9699" width="40" style="120" customWidth="1"/>
    <col min="9700" max="9700" width="13.77734375" style="120" customWidth="1"/>
    <col min="9701" max="9701" width="12.88671875" style="120" customWidth="1"/>
    <col min="9702" max="9704" width="11.109375" style="120" customWidth="1"/>
    <col min="9705" max="9705" width="14.33203125" style="120" customWidth="1"/>
    <col min="9706" max="9706" width="11.33203125" style="120" customWidth="1"/>
    <col min="9707" max="9707" width="11.109375" style="120" customWidth="1"/>
    <col min="9708" max="9708" width="11.21875" style="120" customWidth="1"/>
    <col min="9709" max="9953" width="8.88671875" style="120"/>
    <col min="9954" max="9954" width="5.88671875" style="120" customWidth="1"/>
    <col min="9955" max="9955" width="40" style="120" customWidth="1"/>
    <col min="9956" max="9956" width="13.77734375" style="120" customWidth="1"/>
    <col min="9957" max="9957" width="12.88671875" style="120" customWidth="1"/>
    <col min="9958" max="9960" width="11.109375" style="120" customWidth="1"/>
    <col min="9961" max="9961" width="14.33203125" style="120" customWidth="1"/>
    <col min="9962" max="9962" width="11.33203125" style="120" customWidth="1"/>
    <col min="9963" max="9963" width="11.109375" style="120" customWidth="1"/>
    <col min="9964" max="9964" width="11.21875" style="120" customWidth="1"/>
    <col min="9965" max="10209" width="8.88671875" style="120"/>
    <col min="10210" max="10210" width="5.88671875" style="120" customWidth="1"/>
    <col min="10211" max="10211" width="40" style="120" customWidth="1"/>
    <col min="10212" max="10212" width="13.77734375" style="120" customWidth="1"/>
    <col min="10213" max="10213" width="12.88671875" style="120" customWidth="1"/>
    <col min="10214" max="10216" width="11.109375" style="120" customWidth="1"/>
    <col min="10217" max="10217" width="14.33203125" style="120" customWidth="1"/>
    <col min="10218" max="10218" width="11.33203125" style="120" customWidth="1"/>
    <col min="10219" max="10219" width="11.109375" style="120" customWidth="1"/>
    <col min="10220" max="10220" width="11.21875" style="120" customWidth="1"/>
    <col min="10221" max="10465" width="8.88671875" style="120"/>
    <col min="10466" max="10466" width="5.88671875" style="120" customWidth="1"/>
    <col min="10467" max="10467" width="40" style="120" customWidth="1"/>
    <col min="10468" max="10468" width="13.77734375" style="120" customWidth="1"/>
    <col min="10469" max="10469" width="12.88671875" style="120" customWidth="1"/>
    <col min="10470" max="10472" width="11.109375" style="120" customWidth="1"/>
    <col min="10473" max="10473" width="14.33203125" style="120" customWidth="1"/>
    <col min="10474" max="10474" width="11.33203125" style="120" customWidth="1"/>
    <col min="10475" max="10475" width="11.109375" style="120" customWidth="1"/>
    <col min="10476" max="10476" width="11.21875" style="120" customWidth="1"/>
    <col min="10477" max="10721" width="8.88671875" style="120"/>
    <col min="10722" max="10722" width="5.88671875" style="120" customWidth="1"/>
    <col min="10723" max="10723" width="40" style="120" customWidth="1"/>
    <col min="10724" max="10724" width="13.77734375" style="120" customWidth="1"/>
    <col min="10725" max="10725" width="12.88671875" style="120" customWidth="1"/>
    <col min="10726" max="10728" width="11.109375" style="120" customWidth="1"/>
    <col min="10729" max="10729" width="14.33203125" style="120" customWidth="1"/>
    <col min="10730" max="10730" width="11.33203125" style="120" customWidth="1"/>
    <col min="10731" max="10731" width="11.109375" style="120" customWidth="1"/>
    <col min="10732" max="10732" width="11.21875" style="120" customWidth="1"/>
    <col min="10733" max="10977" width="8.88671875" style="120"/>
    <col min="10978" max="10978" width="5.88671875" style="120" customWidth="1"/>
    <col min="10979" max="10979" width="40" style="120" customWidth="1"/>
    <col min="10980" max="10980" width="13.77734375" style="120" customWidth="1"/>
    <col min="10981" max="10981" width="12.88671875" style="120" customWidth="1"/>
    <col min="10982" max="10984" width="11.109375" style="120" customWidth="1"/>
    <col min="10985" max="10985" width="14.33203125" style="120" customWidth="1"/>
    <col min="10986" max="10986" width="11.33203125" style="120" customWidth="1"/>
    <col min="10987" max="10987" width="11.109375" style="120" customWidth="1"/>
    <col min="10988" max="10988" width="11.21875" style="120" customWidth="1"/>
    <col min="10989" max="11233" width="8.88671875" style="120"/>
    <col min="11234" max="11234" width="5.88671875" style="120" customWidth="1"/>
    <col min="11235" max="11235" width="40" style="120" customWidth="1"/>
    <col min="11236" max="11236" width="13.77734375" style="120" customWidth="1"/>
    <col min="11237" max="11237" width="12.88671875" style="120" customWidth="1"/>
    <col min="11238" max="11240" width="11.109375" style="120" customWidth="1"/>
    <col min="11241" max="11241" width="14.33203125" style="120" customWidth="1"/>
    <col min="11242" max="11242" width="11.33203125" style="120" customWidth="1"/>
    <col min="11243" max="11243" width="11.109375" style="120" customWidth="1"/>
    <col min="11244" max="11244" width="11.21875" style="120" customWidth="1"/>
    <col min="11245" max="11489" width="8.88671875" style="120"/>
    <col min="11490" max="11490" width="5.88671875" style="120" customWidth="1"/>
    <col min="11491" max="11491" width="40" style="120" customWidth="1"/>
    <col min="11492" max="11492" width="13.77734375" style="120" customWidth="1"/>
    <col min="11493" max="11493" width="12.88671875" style="120" customWidth="1"/>
    <col min="11494" max="11496" width="11.109375" style="120" customWidth="1"/>
    <col min="11497" max="11497" width="14.33203125" style="120" customWidth="1"/>
    <col min="11498" max="11498" width="11.33203125" style="120" customWidth="1"/>
    <col min="11499" max="11499" width="11.109375" style="120" customWidth="1"/>
    <col min="11500" max="11500" width="11.21875" style="120" customWidth="1"/>
    <col min="11501" max="11745" width="8.88671875" style="120"/>
    <col min="11746" max="11746" width="5.88671875" style="120" customWidth="1"/>
    <col min="11747" max="11747" width="40" style="120" customWidth="1"/>
    <col min="11748" max="11748" width="13.77734375" style="120" customWidth="1"/>
    <col min="11749" max="11749" width="12.88671875" style="120" customWidth="1"/>
    <col min="11750" max="11752" width="11.109375" style="120" customWidth="1"/>
    <col min="11753" max="11753" width="14.33203125" style="120" customWidth="1"/>
    <col min="11754" max="11754" width="11.33203125" style="120" customWidth="1"/>
    <col min="11755" max="11755" width="11.109375" style="120" customWidth="1"/>
    <col min="11756" max="11756" width="11.21875" style="120" customWidth="1"/>
    <col min="11757" max="12001" width="8.88671875" style="120"/>
    <col min="12002" max="12002" width="5.88671875" style="120" customWidth="1"/>
    <col min="12003" max="12003" width="40" style="120" customWidth="1"/>
    <col min="12004" max="12004" width="13.77734375" style="120" customWidth="1"/>
    <col min="12005" max="12005" width="12.88671875" style="120" customWidth="1"/>
    <col min="12006" max="12008" width="11.109375" style="120" customWidth="1"/>
    <col min="12009" max="12009" width="14.33203125" style="120" customWidth="1"/>
    <col min="12010" max="12010" width="11.33203125" style="120" customWidth="1"/>
    <col min="12011" max="12011" width="11.109375" style="120" customWidth="1"/>
    <col min="12012" max="12012" width="11.21875" style="120" customWidth="1"/>
    <col min="12013" max="12257" width="8.88671875" style="120"/>
    <col min="12258" max="12258" width="5.88671875" style="120" customWidth="1"/>
    <col min="12259" max="12259" width="40" style="120" customWidth="1"/>
    <col min="12260" max="12260" width="13.77734375" style="120" customWidth="1"/>
    <col min="12261" max="12261" width="12.88671875" style="120" customWidth="1"/>
    <col min="12262" max="12264" width="11.109375" style="120" customWidth="1"/>
    <col min="12265" max="12265" width="14.33203125" style="120" customWidth="1"/>
    <col min="12266" max="12266" width="11.33203125" style="120" customWidth="1"/>
    <col min="12267" max="12267" width="11.109375" style="120" customWidth="1"/>
    <col min="12268" max="12268" width="11.21875" style="120" customWidth="1"/>
    <col min="12269" max="12513" width="8.88671875" style="120"/>
    <col min="12514" max="12514" width="5.88671875" style="120" customWidth="1"/>
    <col min="12515" max="12515" width="40" style="120" customWidth="1"/>
    <col min="12516" max="12516" width="13.77734375" style="120" customWidth="1"/>
    <col min="12517" max="12517" width="12.88671875" style="120" customWidth="1"/>
    <col min="12518" max="12520" width="11.109375" style="120" customWidth="1"/>
    <col min="12521" max="12521" width="14.33203125" style="120" customWidth="1"/>
    <col min="12522" max="12522" width="11.33203125" style="120" customWidth="1"/>
    <col min="12523" max="12523" width="11.109375" style="120" customWidth="1"/>
    <col min="12524" max="12524" width="11.21875" style="120" customWidth="1"/>
    <col min="12525" max="12769" width="8.88671875" style="120"/>
    <col min="12770" max="12770" width="5.88671875" style="120" customWidth="1"/>
    <col min="12771" max="12771" width="40" style="120" customWidth="1"/>
    <col min="12772" max="12772" width="13.77734375" style="120" customWidth="1"/>
    <col min="12773" max="12773" width="12.88671875" style="120" customWidth="1"/>
    <col min="12774" max="12776" width="11.109375" style="120" customWidth="1"/>
    <col min="12777" max="12777" width="14.33203125" style="120" customWidth="1"/>
    <col min="12778" max="12778" width="11.33203125" style="120" customWidth="1"/>
    <col min="12779" max="12779" width="11.109375" style="120" customWidth="1"/>
    <col min="12780" max="12780" width="11.21875" style="120" customWidth="1"/>
    <col min="12781" max="13025" width="8.88671875" style="120"/>
    <col min="13026" max="13026" width="5.88671875" style="120" customWidth="1"/>
    <col min="13027" max="13027" width="40" style="120" customWidth="1"/>
    <col min="13028" max="13028" width="13.77734375" style="120" customWidth="1"/>
    <col min="13029" max="13029" width="12.88671875" style="120" customWidth="1"/>
    <col min="13030" max="13032" width="11.109375" style="120" customWidth="1"/>
    <col min="13033" max="13033" width="14.33203125" style="120" customWidth="1"/>
    <col min="13034" max="13034" width="11.33203125" style="120" customWidth="1"/>
    <col min="13035" max="13035" width="11.109375" style="120" customWidth="1"/>
    <col min="13036" max="13036" width="11.21875" style="120" customWidth="1"/>
    <col min="13037" max="13281" width="8.88671875" style="120"/>
    <col min="13282" max="13282" width="5.88671875" style="120" customWidth="1"/>
    <col min="13283" max="13283" width="40" style="120" customWidth="1"/>
    <col min="13284" max="13284" width="13.77734375" style="120" customWidth="1"/>
    <col min="13285" max="13285" width="12.88671875" style="120" customWidth="1"/>
    <col min="13286" max="13288" width="11.109375" style="120" customWidth="1"/>
    <col min="13289" max="13289" width="14.33203125" style="120" customWidth="1"/>
    <col min="13290" max="13290" width="11.33203125" style="120" customWidth="1"/>
    <col min="13291" max="13291" width="11.109375" style="120" customWidth="1"/>
    <col min="13292" max="13292" width="11.21875" style="120" customWidth="1"/>
    <col min="13293" max="13537" width="8.88671875" style="120"/>
    <col min="13538" max="13538" width="5.88671875" style="120" customWidth="1"/>
    <col min="13539" max="13539" width="40" style="120" customWidth="1"/>
    <col min="13540" max="13540" width="13.77734375" style="120" customWidth="1"/>
    <col min="13541" max="13541" width="12.88671875" style="120" customWidth="1"/>
    <col min="13542" max="13544" width="11.109375" style="120" customWidth="1"/>
    <col min="13545" max="13545" width="14.33203125" style="120" customWidth="1"/>
    <col min="13546" max="13546" width="11.33203125" style="120" customWidth="1"/>
    <col min="13547" max="13547" width="11.109375" style="120" customWidth="1"/>
    <col min="13548" max="13548" width="11.21875" style="120" customWidth="1"/>
    <col min="13549" max="13793" width="8.88671875" style="120"/>
    <col min="13794" max="13794" width="5.88671875" style="120" customWidth="1"/>
    <col min="13795" max="13795" width="40" style="120" customWidth="1"/>
    <col min="13796" max="13796" width="13.77734375" style="120" customWidth="1"/>
    <col min="13797" max="13797" width="12.88671875" style="120" customWidth="1"/>
    <col min="13798" max="13800" width="11.109375" style="120" customWidth="1"/>
    <col min="13801" max="13801" width="14.33203125" style="120" customWidth="1"/>
    <col min="13802" max="13802" width="11.33203125" style="120" customWidth="1"/>
    <col min="13803" max="13803" width="11.109375" style="120" customWidth="1"/>
    <col min="13804" max="13804" width="11.21875" style="120" customWidth="1"/>
    <col min="13805" max="14049" width="8.88671875" style="120"/>
    <col min="14050" max="14050" width="5.88671875" style="120" customWidth="1"/>
    <col min="14051" max="14051" width="40" style="120" customWidth="1"/>
    <col min="14052" max="14052" width="13.77734375" style="120" customWidth="1"/>
    <col min="14053" max="14053" width="12.88671875" style="120" customWidth="1"/>
    <col min="14054" max="14056" width="11.109375" style="120" customWidth="1"/>
    <col min="14057" max="14057" width="14.33203125" style="120" customWidth="1"/>
    <col min="14058" max="14058" width="11.33203125" style="120" customWidth="1"/>
    <col min="14059" max="14059" width="11.109375" style="120" customWidth="1"/>
    <col min="14060" max="14060" width="11.21875" style="120" customWidth="1"/>
    <col min="14061" max="14305" width="8.88671875" style="120"/>
    <col min="14306" max="14306" width="5.88671875" style="120" customWidth="1"/>
    <col min="14307" max="14307" width="40" style="120" customWidth="1"/>
    <col min="14308" max="14308" width="13.77734375" style="120" customWidth="1"/>
    <col min="14309" max="14309" width="12.88671875" style="120" customWidth="1"/>
    <col min="14310" max="14312" width="11.109375" style="120" customWidth="1"/>
    <col min="14313" max="14313" width="14.33203125" style="120" customWidth="1"/>
    <col min="14314" max="14314" width="11.33203125" style="120" customWidth="1"/>
    <col min="14315" max="14315" width="11.109375" style="120" customWidth="1"/>
    <col min="14316" max="14316" width="11.21875" style="120" customWidth="1"/>
    <col min="14317" max="14561" width="8.88671875" style="120"/>
    <col min="14562" max="14562" width="5.88671875" style="120" customWidth="1"/>
    <col min="14563" max="14563" width="40" style="120" customWidth="1"/>
    <col min="14564" max="14564" width="13.77734375" style="120" customWidth="1"/>
    <col min="14565" max="14565" width="12.88671875" style="120" customWidth="1"/>
    <col min="14566" max="14568" width="11.109375" style="120" customWidth="1"/>
    <col min="14569" max="14569" width="14.33203125" style="120" customWidth="1"/>
    <col min="14570" max="14570" width="11.33203125" style="120" customWidth="1"/>
    <col min="14571" max="14571" width="11.109375" style="120" customWidth="1"/>
    <col min="14572" max="14572" width="11.21875" style="120" customWidth="1"/>
    <col min="14573" max="14817" width="8.88671875" style="120"/>
    <col min="14818" max="14818" width="5.88671875" style="120" customWidth="1"/>
    <col min="14819" max="14819" width="40" style="120" customWidth="1"/>
    <col min="14820" max="14820" width="13.77734375" style="120" customWidth="1"/>
    <col min="14821" max="14821" width="12.88671875" style="120" customWidth="1"/>
    <col min="14822" max="14824" width="11.109375" style="120" customWidth="1"/>
    <col min="14825" max="14825" width="14.33203125" style="120" customWidth="1"/>
    <col min="14826" max="14826" width="11.33203125" style="120" customWidth="1"/>
    <col min="14827" max="14827" width="11.109375" style="120" customWidth="1"/>
    <col min="14828" max="14828" width="11.21875" style="120" customWidth="1"/>
    <col min="14829" max="15073" width="8.88671875" style="120"/>
    <col min="15074" max="15074" width="5.88671875" style="120" customWidth="1"/>
    <col min="15075" max="15075" width="40" style="120" customWidth="1"/>
    <col min="15076" max="15076" width="13.77734375" style="120" customWidth="1"/>
    <col min="15077" max="15077" width="12.88671875" style="120" customWidth="1"/>
    <col min="15078" max="15080" width="11.109375" style="120" customWidth="1"/>
    <col min="15081" max="15081" width="14.33203125" style="120" customWidth="1"/>
    <col min="15082" max="15082" width="11.33203125" style="120" customWidth="1"/>
    <col min="15083" max="15083" width="11.109375" style="120" customWidth="1"/>
    <col min="15084" max="15084" width="11.21875" style="120" customWidth="1"/>
    <col min="15085" max="15329" width="8.88671875" style="120"/>
    <col min="15330" max="15330" width="5.88671875" style="120" customWidth="1"/>
    <col min="15331" max="15331" width="40" style="120" customWidth="1"/>
    <col min="15332" max="15332" width="13.77734375" style="120" customWidth="1"/>
    <col min="15333" max="15333" width="12.88671875" style="120" customWidth="1"/>
    <col min="15334" max="15336" width="11.109375" style="120" customWidth="1"/>
    <col min="15337" max="15337" width="14.33203125" style="120" customWidth="1"/>
    <col min="15338" max="15338" width="11.33203125" style="120" customWidth="1"/>
    <col min="15339" max="15339" width="11.109375" style="120" customWidth="1"/>
    <col min="15340" max="15340" width="11.21875" style="120" customWidth="1"/>
    <col min="15341" max="15585" width="8.88671875" style="120"/>
    <col min="15586" max="15586" width="5.88671875" style="120" customWidth="1"/>
    <col min="15587" max="15587" width="40" style="120" customWidth="1"/>
    <col min="15588" max="15588" width="13.77734375" style="120" customWidth="1"/>
    <col min="15589" max="15589" width="12.88671875" style="120" customWidth="1"/>
    <col min="15590" max="15592" width="11.109375" style="120" customWidth="1"/>
    <col min="15593" max="15593" width="14.33203125" style="120" customWidth="1"/>
    <col min="15594" max="15594" width="11.33203125" style="120" customWidth="1"/>
    <col min="15595" max="15595" width="11.109375" style="120" customWidth="1"/>
    <col min="15596" max="15596" width="11.21875" style="120" customWidth="1"/>
    <col min="15597" max="15841" width="8.88671875" style="120"/>
    <col min="15842" max="15842" width="5.88671875" style="120" customWidth="1"/>
    <col min="15843" max="15843" width="40" style="120" customWidth="1"/>
    <col min="15844" max="15844" width="13.77734375" style="120" customWidth="1"/>
    <col min="15845" max="15845" width="12.88671875" style="120" customWidth="1"/>
    <col min="15846" max="15848" width="11.109375" style="120" customWidth="1"/>
    <col min="15849" max="15849" width="14.33203125" style="120" customWidth="1"/>
    <col min="15850" max="15850" width="11.33203125" style="120" customWidth="1"/>
    <col min="15851" max="15851" width="11.109375" style="120" customWidth="1"/>
    <col min="15852" max="15852" width="11.21875" style="120" customWidth="1"/>
    <col min="15853" max="16097" width="8.88671875" style="120"/>
    <col min="16098" max="16098" width="5.88671875" style="120" customWidth="1"/>
    <col min="16099" max="16099" width="40" style="120" customWidth="1"/>
    <col min="16100" max="16100" width="13.77734375" style="120" customWidth="1"/>
    <col min="16101" max="16101" width="12.88671875" style="120" customWidth="1"/>
    <col min="16102" max="16104" width="11.109375" style="120" customWidth="1"/>
    <col min="16105" max="16105" width="14.33203125" style="120" customWidth="1"/>
    <col min="16106" max="16106" width="11.33203125" style="120" customWidth="1"/>
    <col min="16107" max="16107" width="11.109375" style="120" customWidth="1"/>
    <col min="16108" max="16108" width="11.21875" style="120" customWidth="1"/>
    <col min="16109" max="16384" width="8.88671875" style="120"/>
  </cols>
  <sheetData>
    <row r="1" spans="1:15" ht="13.5" customHeight="1" x14ac:dyDescent="0.2">
      <c r="A1" s="163" t="s">
        <v>0</v>
      </c>
      <c r="J1" s="120"/>
      <c r="K1" s="120"/>
    </row>
    <row r="2" spans="1:15" x14ac:dyDescent="0.2">
      <c r="A2" s="249" t="str">
        <f>'WS 1 - Wholesale Charges'!A2:P2</f>
        <v>Attachment 2 - Calculations in Support of Schedule 21-VP Rates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x14ac:dyDescent="0.2">
      <c r="A3" s="163" t="s">
        <v>314</v>
      </c>
      <c r="J3" s="120"/>
      <c r="K3" s="120"/>
    </row>
    <row r="4" spans="1:15" x14ac:dyDescent="0.2">
      <c r="A4" s="163" t="s">
        <v>5</v>
      </c>
      <c r="J4" s="120"/>
      <c r="K4" s="120"/>
    </row>
    <row r="5" spans="1:15" x14ac:dyDescent="0.2">
      <c r="A5" s="163" t="s">
        <v>315</v>
      </c>
      <c r="J5" s="120"/>
      <c r="K5" s="120"/>
    </row>
    <row r="6" spans="1:15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7" spans="1:15" x14ac:dyDescent="0.2">
      <c r="A7" s="121"/>
      <c r="C7" s="122"/>
      <c r="D7" s="121"/>
      <c r="E7" s="121"/>
      <c r="F7" s="121"/>
      <c r="G7" s="121"/>
      <c r="H7" s="121"/>
      <c r="I7" s="121"/>
      <c r="J7" s="121"/>
      <c r="K7" s="121"/>
      <c r="L7" s="121"/>
    </row>
    <row r="8" spans="1:15" x14ac:dyDescent="0.2">
      <c r="A8" s="121"/>
      <c r="B8" s="122"/>
      <c r="C8" s="122"/>
      <c r="D8" s="121"/>
      <c r="E8" s="121"/>
      <c r="F8" s="121"/>
      <c r="G8" s="121"/>
      <c r="H8" s="121"/>
      <c r="I8" s="121"/>
      <c r="J8" s="121"/>
      <c r="K8" s="121"/>
      <c r="L8" s="121"/>
    </row>
    <row r="9" spans="1:15" x14ac:dyDescent="0.2">
      <c r="A9" s="123" t="s">
        <v>22</v>
      </c>
      <c r="B9" s="124"/>
      <c r="C9" s="124"/>
      <c r="D9" s="124"/>
      <c r="E9" s="124"/>
      <c r="F9" s="124"/>
      <c r="G9" s="124"/>
      <c r="J9" s="121"/>
      <c r="K9" s="121"/>
      <c r="L9" s="125"/>
    </row>
    <row r="10" spans="1:15" x14ac:dyDescent="0.2">
      <c r="A10" s="227" t="s">
        <v>285</v>
      </c>
      <c r="B10" s="227" t="s">
        <v>286</v>
      </c>
      <c r="C10" s="126"/>
      <c r="D10" s="125"/>
      <c r="E10" s="125"/>
      <c r="F10" s="125"/>
      <c r="G10" s="125"/>
      <c r="J10" s="227" t="s">
        <v>67</v>
      </c>
      <c r="K10" s="123"/>
      <c r="L10" s="227" t="s">
        <v>176</v>
      </c>
    </row>
    <row r="11" spans="1:15" x14ac:dyDescent="0.2">
      <c r="A11" s="127">
        <v>1</v>
      </c>
      <c r="B11" s="124" t="s">
        <v>287</v>
      </c>
      <c r="C11" s="124"/>
      <c r="E11" s="124"/>
      <c r="H11" s="125"/>
      <c r="I11" s="125"/>
      <c r="J11" s="173">
        <v>-332839.81665751437</v>
      </c>
      <c r="K11" s="167"/>
      <c r="L11" s="175" t="s">
        <v>288</v>
      </c>
    </row>
    <row r="12" spans="1:15" x14ac:dyDescent="0.2">
      <c r="A12" s="127">
        <f>A11+1</f>
        <v>2</v>
      </c>
      <c r="B12" s="129" t="s">
        <v>212</v>
      </c>
      <c r="C12" s="129"/>
      <c r="E12" s="124"/>
      <c r="H12" s="125"/>
      <c r="I12" s="125"/>
      <c r="J12" s="234"/>
      <c r="K12" s="167"/>
      <c r="L12" s="124" t="s">
        <v>45</v>
      </c>
    </row>
    <row r="13" spans="1:15" x14ac:dyDescent="0.2">
      <c r="A13" s="127">
        <f>A12+1</f>
        <v>3</v>
      </c>
      <c r="B13" s="124" t="s">
        <v>289</v>
      </c>
      <c r="C13" s="124"/>
      <c r="E13" s="124"/>
      <c r="H13" s="125"/>
      <c r="I13" s="125"/>
      <c r="J13" s="167">
        <f>J11-J12</f>
        <v>-332839.81665751437</v>
      </c>
      <c r="K13" s="167"/>
      <c r="L13" s="124"/>
    </row>
    <row r="14" spans="1:15" x14ac:dyDescent="0.2">
      <c r="A14" s="127">
        <f>A13+1</f>
        <v>4</v>
      </c>
      <c r="B14" s="124" t="s">
        <v>290</v>
      </c>
      <c r="C14" s="124"/>
      <c r="E14" s="124"/>
      <c r="H14" s="125"/>
      <c r="I14" s="125"/>
      <c r="J14" s="174">
        <f>'WS 5 - Sched, Sys Control, Disp'!C19</f>
        <v>274044.43600763206</v>
      </c>
      <c r="K14" s="168"/>
      <c r="L14" s="124" t="s">
        <v>316</v>
      </c>
    </row>
    <row r="15" spans="1:15" ht="13.5" thickBot="1" x14ac:dyDescent="0.25">
      <c r="A15" s="127">
        <f>A14+1</f>
        <v>5</v>
      </c>
      <c r="B15" s="124" t="s">
        <v>291</v>
      </c>
      <c r="C15" s="124"/>
      <c r="E15" s="124"/>
      <c r="H15" s="125"/>
      <c r="I15" s="125"/>
      <c r="J15" s="229">
        <f>J13+J14</f>
        <v>-58795.380649882311</v>
      </c>
      <c r="K15" s="128"/>
    </row>
    <row r="16" spans="1:15" ht="13.5" thickTop="1" x14ac:dyDescent="0.2">
      <c r="A16" s="127"/>
      <c r="B16" s="124"/>
      <c r="C16" s="124"/>
      <c r="D16" s="124"/>
      <c r="E16" s="124"/>
      <c r="H16" s="125"/>
      <c r="I16" s="125"/>
      <c r="J16" s="128"/>
      <c r="K16" s="128"/>
    </row>
    <row r="17" spans="1:11" x14ac:dyDescent="0.2">
      <c r="A17" s="127" t="s">
        <v>292</v>
      </c>
      <c r="B17" s="124"/>
      <c r="C17" s="124"/>
      <c r="D17" s="124"/>
      <c r="E17" s="124"/>
      <c r="F17" s="124"/>
      <c r="G17" s="124"/>
      <c r="H17" s="125"/>
      <c r="I17" s="125"/>
      <c r="J17" s="128"/>
      <c r="K17" s="128"/>
    </row>
    <row r="18" spans="1:11" x14ac:dyDescent="0.2">
      <c r="A18" s="127"/>
      <c r="B18" s="254" t="s">
        <v>293</v>
      </c>
      <c r="C18" s="255"/>
      <c r="D18" s="256"/>
      <c r="E18" s="123"/>
      <c r="F18" s="127" t="s">
        <v>294</v>
      </c>
      <c r="G18" s="127"/>
      <c r="H18" s="127" t="s">
        <v>295</v>
      </c>
      <c r="I18" s="127"/>
      <c r="J18" s="127" t="s">
        <v>296</v>
      </c>
      <c r="K18" s="121"/>
    </row>
    <row r="19" spans="1:11" x14ac:dyDescent="0.2">
      <c r="A19" s="127" t="s">
        <v>292</v>
      </c>
      <c r="E19" s="123"/>
      <c r="F19" s="125"/>
      <c r="G19" s="125"/>
      <c r="H19" s="123" t="s">
        <v>297</v>
      </c>
      <c r="I19" s="123"/>
      <c r="J19" s="123"/>
      <c r="K19" s="125"/>
    </row>
    <row r="20" spans="1:11" x14ac:dyDescent="0.2">
      <c r="A20" s="127"/>
      <c r="B20" s="227" t="s">
        <v>84</v>
      </c>
      <c r="C20" s="123"/>
      <c r="D20" s="227" t="s">
        <v>298</v>
      </c>
      <c r="E20" s="123"/>
      <c r="F20" s="227" t="s">
        <v>299</v>
      </c>
      <c r="G20" s="125"/>
      <c r="H20" s="230" t="s">
        <v>300</v>
      </c>
      <c r="I20" s="130"/>
      <c r="J20" s="227" t="s">
        <v>301</v>
      </c>
      <c r="K20" s="125"/>
    </row>
    <row r="21" spans="1:11" ht="13.15" customHeight="1" x14ac:dyDescent="0.2">
      <c r="A21" s="127">
        <f>A15+1</f>
        <v>6</v>
      </c>
      <c r="B21" s="125" t="s">
        <v>86</v>
      </c>
      <c r="C21" s="125"/>
      <c r="D21" s="125">
        <v>2023</v>
      </c>
      <c r="E21" s="125"/>
      <c r="F21" s="131">
        <f>J15</f>
        <v>-58795.380649882311</v>
      </c>
      <c r="G21" s="131"/>
      <c r="H21" s="172">
        <v>5.4000000000000003E-3</v>
      </c>
      <c r="I21" s="132" t="s">
        <v>302</v>
      </c>
      <c r="J21" s="133">
        <f>F21*H21</f>
        <v>-317.49505550936448</v>
      </c>
      <c r="K21" s="133"/>
    </row>
    <row r="22" spans="1:11" ht="13.15" customHeight="1" x14ac:dyDescent="0.2">
      <c r="A22" s="127">
        <f>A21+1</f>
        <v>7</v>
      </c>
      <c r="B22" s="125" t="s">
        <v>88</v>
      </c>
      <c r="C22" s="125"/>
      <c r="D22" s="125">
        <f>IF(ISNUMBER($D$21),$D$21,"")</f>
        <v>2023</v>
      </c>
      <c r="E22" s="125"/>
      <c r="F22" s="131">
        <f>+F21</f>
        <v>-58795.380649882311</v>
      </c>
      <c r="G22" s="131"/>
      <c r="H22" s="172">
        <v>4.7999999999999996E-3</v>
      </c>
      <c r="I22" s="132" t="s">
        <v>302</v>
      </c>
      <c r="J22" s="133">
        <f>F22*H22</f>
        <v>-282.21782711943507</v>
      </c>
      <c r="K22" s="133"/>
    </row>
    <row r="23" spans="1:11" ht="13.15" customHeight="1" x14ac:dyDescent="0.2">
      <c r="A23" s="127">
        <f>A22+1</f>
        <v>8</v>
      </c>
      <c r="B23" s="125" t="s">
        <v>89</v>
      </c>
      <c r="C23" s="125"/>
      <c r="D23" s="125">
        <f>+$D$22</f>
        <v>2023</v>
      </c>
      <c r="E23" s="125"/>
      <c r="F23" s="131">
        <f>+F22</f>
        <v>-58795.380649882311</v>
      </c>
      <c r="G23" s="131"/>
      <c r="H23" s="172">
        <v>5.4000000000000003E-3</v>
      </c>
      <c r="I23" s="132" t="s">
        <v>302</v>
      </c>
      <c r="J23" s="133">
        <f>F23*H23</f>
        <v>-317.49505550936448</v>
      </c>
      <c r="K23" s="133"/>
    </row>
    <row r="24" spans="1:11" ht="13.15" customHeight="1" x14ac:dyDescent="0.2">
      <c r="A24" s="127"/>
      <c r="B24" s="125"/>
      <c r="C24" s="125"/>
      <c r="D24" s="125"/>
      <c r="E24" s="125"/>
      <c r="F24" s="131"/>
      <c r="G24" s="131"/>
      <c r="H24" s="171"/>
      <c r="I24" s="135"/>
      <c r="J24" s="133"/>
      <c r="K24" s="133"/>
    </row>
    <row r="25" spans="1:11" ht="13.15" customHeight="1" x14ac:dyDescent="0.2">
      <c r="A25" s="127">
        <f>A23+1</f>
        <v>9</v>
      </c>
      <c r="B25" s="125" t="s">
        <v>90</v>
      </c>
      <c r="C25" s="125"/>
      <c r="D25" s="125">
        <f>+$D$22</f>
        <v>2023</v>
      </c>
      <c r="E25" s="125"/>
      <c r="F25" s="131">
        <f>+F23+J23+J22+J21</f>
        <v>-59712.588588020481</v>
      </c>
      <c r="G25" s="131"/>
      <c r="H25" s="172">
        <v>6.1999999999999998E-3</v>
      </c>
      <c r="I25" s="132" t="s">
        <v>302</v>
      </c>
      <c r="J25" s="133">
        <f>F25*H25</f>
        <v>-370.21804924572695</v>
      </c>
      <c r="K25" s="133"/>
    </row>
    <row r="26" spans="1:11" ht="13.15" customHeight="1" x14ac:dyDescent="0.2">
      <c r="A26" s="127">
        <f>A25+1</f>
        <v>10</v>
      </c>
      <c r="B26" s="125" t="s">
        <v>91</v>
      </c>
      <c r="C26" s="125"/>
      <c r="D26" s="125">
        <f>+$D$22</f>
        <v>2023</v>
      </c>
      <c r="E26" s="125"/>
      <c r="F26" s="131">
        <f>+F25</f>
        <v>-59712.588588020481</v>
      </c>
      <c r="G26" s="131"/>
      <c r="H26" s="172">
        <v>6.4000000000000003E-3</v>
      </c>
      <c r="I26" s="132" t="s">
        <v>302</v>
      </c>
      <c r="J26" s="133">
        <f>F26*H26</f>
        <v>-382.16056696333112</v>
      </c>
      <c r="K26" s="133"/>
    </row>
    <row r="27" spans="1:11" x14ac:dyDescent="0.2">
      <c r="A27" s="127">
        <f>A26+1</f>
        <v>11</v>
      </c>
      <c r="B27" s="125" t="s">
        <v>92</v>
      </c>
      <c r="C27" s="125"/>
      <c r="D27" s="125">
        <f>+$D$22</f>
        <v>2023</v>
      </c>
      <c r="E27" s="125"/>
      <c r="F27" s="131">
        <f>+F26</f>
        <v>-59712.588588020481</v>
      </c>
      <c r="G27" s="131"/>
      <c r="H27" s="172">
        <v>6.1999999999999998E-3</v>
      </c>
      <c r="I27" s="132" t="s">
        <v>302</v>
      </c>
      <c r="J27" s="133">
        <f>F27*H27</f>
        <v>-370.21804924572695</v>
      </c>
      <c r="K27" s="133"/>
    </row>
    <row r="28" spans="1:11" x14ac:dyDescent="0.2">
      <c r="A28" s="127"/>
      <c r="B28" s="125"/>
      <c r="C28" s="125"/>
      <c r="D28" s="125"/>
      <c r="E28" s="125"/>
      <c r="F28" s="131"/>
      <c r="G28" s="131"/>
      <c r="H28" s="171"/>
      <c r="I28" s="135"/>
      <c r="J28" s="133"/>
      <c r="K28" s="133"/>
    </row>
    <row r="29" spans="1:11" x14ac:dyDescent="0.2">
      <c r="A29" s="127">
        <f>A27+1</f>
        <v>12</v>
      </c>
      <c r="B29" s="125" t="s">
        <v>93</v>
      </c>
      <c r="C29" s="125"/>
      <c r="D29" s="125">
        <f>+$D$22</f>
        <v>2023</v>
      </c>
      <c r="E29" s="125"/>
      <c r="F29" s="131">
        <f>+F27+J27+J26+J25</f>
        <v>-60835.185253475262</v>
      </c>
      <c r="G29" s="131"/>
      <c r="H29" s="172">
        <v>6.7999999999999996E-3</v>
      </c>
      <c r="I29" s="132" t="s">
        <v>302</v>
      </c>
      <c r="J29" s="133">
        <f>F29*H29</f>
        <v>-413.67925972363173</v>
      </c>
      <c r="K29" s="133"/>
    </row>
    <row r="30" spans="1:11" x14ac:dyDescent="0.2">
      <c r="A30" s="127">
        <f>A29+1</f>
        <v>13</v>
      </c>
      <c r="B30" s="125" t="s">
        <v>94</v>
      </c>
      <c r="C30" s="125"/>
      <c r="D30" s="125">
        <f>+$D$22</f>
        <v>2023</v>
      </c>
      <c r="E30" s="125"/>
      <c r="F30" s="131">
        <f>+F29</f>
        <v>-60835.185253475262</v>
      </c>
      <c r="G30" s="131"/>
      <c r="H30" s="172">
        <v>6.7999999999999996E-3</v>
      </c>
      <c r="I30" s="132" t="s">
        <v>302</v>
      </c>
      <c r="J30" s="133">
        <f>F30*H30</f>
        <v>-413.67925972363173</v>
      </c>
      <c r="K30" s="133"/>
    </row>
    <row r="31" spans="1:11" x14ac:dyDescent="0.2">
      <c r="A31" s="127">
        <f>A30+1</f>
        <v>14</v>
      </c>
      <c r="B31" s="125" t="s">
        <v>95</v>
      </c>
      <c r="C31" s="125"/>
      <c r="D31" s="125">
        <f>+$D$22</f>
        <v>2023</v>
      </c>
      <c r="E31" s="125"/>
      <c r="F31" s="131">
        <f>+F30</f>
        <v>-60835.185253475262</v>
      </c>
      <c r="G31" s="131"/>
      <c r="H31" s="172">
        <v>6.6E-3</v>
      </c>
      <c r="I31" s="132" t="s">
        <v>302</v>
      </c>
      <c r="J31" s="133">
        <f>F31*H31</f>
        <v>-401.51222267293673</v>
      </c>
      <c r="K31" s="133"/>
    </row>
    <row r="32" spans="1:11" x14ac:dyDescent="0.2">
      <c r="A32" s="127"/>
      <c r="B32" s="125"/>
      <c r="C32" s="125"/>
      <c r="D32" s="125"/>
      <c r="E32" s="125"/>
      <c r="F32" s="131"/>
      <c r="G32" s="131"/>
      <c r="H32" s="171"/>
      <c r="I32" s="135"/>
      <c r="J32" s="133"/>
      <c r="K32" s="133"/>
    </row>
    <row r="33" spans="1:11" x14ac:dyDescent="0.2">
      <c r="A33" s="127">
        <f>A31+1</f>
        <v>15</v>
      </c>
      <c r="B33" s="125" t="s">
        <v>96</v>
      </c>
      <c r="C33" s="125"/>
      <c r="D33" s="125">
        <f>+$D$22</f>
        <v>2023</v>
      </c>
      <c r="E33" s="125"/>
      <c r="F33" s="131">
        <f>+F31+J31+J30+J29</f>
        <v>-62064.055995595467</v>
      </c>
      <c r="G33" s="131"/>
      <c r="H33" s="172">
        <v>7.1000000000000004E-3</v>
      </c>
      <c r="I33" s="132" t="s">
        <v>302</v>
      </c>
      <c r="J33" s="133">
        <f>F33*H33</f>
        <v>-440.65479756872782</v>
      </c>
      <c r="K33" s="133"/>
    </row>
    <row r="34" spans="1:11" x14ac:dyDescent="0.2">
      <c r="A34" s="127">
        <f>A33+1</f>
        <v>16</v>
      </c>
      <c r="B34" s="125" t="s">
        <v>97</v>
      </c>
      <c r="C34" s="125"/>
      <c r="D34" s="125">
        <f>+$D$22</f>
        <v>2023</v>
      </c>
      <c r="E34" s="125"/>
      <c r="F34" s="131">
        <f>+F33</f>
        <v>-62064.055995595467</v>
      </c>
      <c r="G34" s="131"/>
      <c r="H34" s="172">
        <v>6.8999999999999999E-3</v>
      </c>
      <c r="I34" s="132" t="s">
        <v>302</v>
      </c>
      <c r="J34" s="133">
        <f>F34*H34</f>
        <v>-428.2419863696087</v>
      </c>
      <c r="K34" s="133"/>
    </row>
    <row r="35" spans="1:11" x14ac:dyDescent="0.2">
      <c r="A35" s="127">
        <f>A34+1</f>
        <v>17</v>
      </c>
      <c r="B35" s="125" t="s">
        <v>98</v>
      </c>
      <c r="C35" s="125"/>
      <c r="D35" s="125">
        <f>+$D$22</f>
        <v>2023</v>
      </c>
      <c r="E35" s="125"/>
      <c r="F35" s="131">
        <f>+F34</f>
        <v>-62064.055995595467</v>
      </c>
      <c r="G35" s="131"/>
      <c r="H35" s="172">
        <v>7.1000000000000004E-3</v>
      </c>
      <c r="I35" s="132" t="s">
        <v>302</v>
      </c>
      <c r="J35" s="133">
        <f>F35*H35</f>
        <v>-440.65479756872782</v>
      </c>
      <c r="K35" s="133"/>
    </row>
    <row r="36" spans="1:11" x14ac:dyDescent="0.2">
      <c r="A36" s="127"/>
      <c r="B36" s="125"/>
      <c r="C36" s="125"/>
      <c r="D36" s="125"/>
      <c r="E36" s="125"/>
      <c r="F36" s="131"/>
      <c r="G36" s="131"/>
      <c r="H36" s="170"/>
      <c r="I36" s="135"/>
      <c r="J36" s="133"/>
      <c r="K36" s="133"/>
    </row>
    <row r="37" spans="1:11" ht="13.15" customHeight="1" x14ac:dyDescent="0.2">
      <c r="A37" s="127">
        <f>A35+1</f>
        <v>18</v>
      </c>
      <c r="B37" s="125" t="s">
        <v>86</v>
      </c>
      <c r="C37" s="125"/>
      <c r="D37" s="125">
        <f>IF(ISNUMBER($D$21),D21+1,"")</f>
        <v>2024</v>
      </c>
      <c r="E37" s="125"/>
      <c r="F37" s="131">
        <f>+F35+J35+J34+J33</f>
        <v>-63373.607577102535</v>
      </c>
      <c r="G37" s="131"/>
      <c r="H37" s="172">
        <v>7.1999999999999998E-3</v>
      </c>
      <c r="I37" s="132" t="s">
        <v>302</v>
      </c>
      <c r="J37" s="133">
        <f>F37*H37</f>
        <v>-456.28997455513826</v>
      </c>
      <c r="K37" s="133"/>
    </row>
    <row r="38" spans="1:11" ht="13.15" customHeight="1" x14ac:dyDescent="0.2">
      <c r="A38" s="127">
        <f>A37+1</f>
        <v>19</v>
      </c>
      <c r="B38" s="125" t="s">
        <v>88</v>
      </c>
      <c r="C38" s="125"/>
      <c r="D38" s="125">
        <f>$D$37</f>
        <v>2024</v>
      </c>
      <c r="E38" s="125"/>
      <c r="F38" s="131">
        <f>+F37</f>
        <v>-63373.607577102535</v>
      </c>
      <c r="G38" s="131"/>
      <c r="H38" s="172">
        <v>6.7999999999999996E-3</v>
      </c>
      <c r="I38" s="132" t="s">
        <v>302</v>
      </c>
      <c r="J38" s="133">
        <f>F38*H38</f>
        <v>-430.94053152429723</v>
      </c>
      <c r="K38" s="133"/>
    </row>
    <row r="39" spans="1:11" ht="13.15" customHeight="1" x14ac:dyDescent="0.2">
      <c r="A39" s="127">
        <f>A38+1</f>
        <v>20</v>
      </c>
      <c r="B39" s="125" t="s">
        <v>89</v>
      </c>
      <c r="C39" s="125"/>
      <c r="D39" s="125">
        <f>$D$37</f>
        <v>2024</v>
      </c>
      <c r="E39" s="125"/>
      <c r="F39" s="131">
        <f>+F38</f>
        <v>-63373.607577102535</v>
      </c>
      <c r="G39" s="131"/>
      <c r="H39" s="172">
        <v>7.1999999999999998E-3</v>
      </c>
      <c r="I39" s="132" t="s">
        <v>302</v>
      </c>
      <c r="J39" s="133">
        <f>F39*H39</f>
        <v>-456.28997455513826</v>
      </c>
      <c r="K39" s="133"/>
    </row>
    <row r="40" spans="1:11" ht="13.15" customHeight="1" x14ac:dyDescent="0.2">
      <c r="A40" s="127"/>
      <c r="B40" s="125"/>
      <c r="C40" s="125"/>
      <c r="D40" s="125"/>
      <c r="E40" s="125"/>
      <c r="F40" s="131"/>
      <c r="G40" s="131"/>
      <c r="H40" s="171"/>
      <c r="I40" s="135"/>
      <c r="J40" s="133"/>
      <c r="K40" s="133"/>
    </row>
    <row r="41" spans="1:11" ht="13.15" customHeight="1" x14ac:dyDescent="0.2">
      <c r="A41" s="127">
        <f>A39+1</f>
        <v>21</v>
      </c>
      <c r="B41" s="125" t="s">
        <v>90</v>
      </c>
      <c r="C41" s="125"/>
      <c r="D41" s="125">
        <f>$D$37</f>
        <v>2024</v>
      </c>
      <c r="E41" s="125"/>
      <c r="F41" s="131">
        <f>+F39+J39+J38+J37</f>
        <v>-64717.128057737114</v>
      </c>
      <c r="G41" s="131"/>
      <c r="H41" s="172">
        <v>7.0000000000000001E-3</v>
      </c>
      <c r="I41" s="132" t="s">
        <v>302</v>
      </c>
      <c r="J41" s="133">
        <f>F41*H41</f>
        <v>-453.01989640415979</v>
      </c>
      <c r="K41" s="133"/>
    </row>
    <row r="42" spans="1:11" ht="13.15" customHeight="1" x14ac:dyDescent="0.2">
      <c r="A42" s="127">
        <f>A41+1</f>
        <v>22</v>
      </c>
      <c r="B42" s="125" t="s">
        <v>91</v>
      </c>
      <c r="C42" s="125"/>
      <c r="D42" s="125">
        <f>$D$37</f>
        <v>2024</v>
      </c>
      <c r="E42" s="125"/>
      <c r="F42" s="131">
        <f>+F41</f>
        <v>-64717.128057737114</v>
      </c>
      <c r="G42" s="131"/>
      <c r="H42" s="172">
        <v>7.0000000000000001E-3</v>
      </c>
      <c r="I42" s="132" t="s">
        <v>302</v>
      </c>
      <c r="J42" s="133">
        <f>F42*H42</f>
        <v>-453.01989640415979</v>
      </c>
      <c r="K42" s="133"/>
    </row>
    <row r="43" spans="1:11" x14ac:dyDescent="0.2">
      <c r="A43" s="127">
        <f>A42+1</f>
        <v>23</v>
      </c>
      <c r="B43" s="125" t="s">
        <v>92</v>
      </c>
      <c r="C43" s="125"/>
      <c r="D43" s="125">
        <f>$D$37</f>
        <v>2024</v>
      </c>
      <c r="E43" s="125"/>
      <c r="F43" s="131">
        <f>+F42</f>
        <v>-64717.128057737114</v>
      </c>
      <c r="G43" s="131"/>
      <c r="H43" s="134">
        <f>$H$59</f>
        <v>6.5235294117647067E-3</v>
      </c>
      <c r="I43" s="132" t="s">
        <v>303</v>
      </c>
      <c r="J43" s="133">
        <f>F43*H43</f>
        <v>-422.18408832959096</v>
      </c>
      <c r="K43" s="133"/>
    </row>
    <row r="44" spans="1:11" x14ac:dyDescent="0.2">
      <c r="A44" s="127"/>
      <c r="B44" s="125"/>
      <c r="C44" s="125"/>
      <c r="D44" s="125"/>
      <c r="E44" s="125"/>
      <c r="F44" s="131"/>
      <c r="G44" s="131"/>
      <c r="H44" s="134"/>
      <c r="I44" s="135"/>
      <c r="J44" s="133"/>
      <c r="K44" s="133"/>
    </row>
    <row r="45" spans="1:11" x14ac:dyDescent="0.2">
      <c r="A45" s="127">
        <f>A43+1</f>
        <v>24</v>
      </c>
      <c r="B45" s="125" t="s">
        <v>93</v>
      </c>
      <c r="C45" s="125"/>
      <c r="D45" s="125">
        <f>$D$37</f>
        <v>2024</v>
      </c>
      <c r="E45" s="125"/>
      <c r="F45" s="131">
        <f>+F43+J43+J42+J41</f>
        <v>-66045.351938875028</v>
      </c>
      <c r="G45" s="131"/>
      <c r="H45" s="134">
        <f>$H$59</f>
        <v>6.5235294117647067E-3</v>
      </c>
      <c r="I45" s="132" t="s">
        <v>303</v>
      </c>
      <c r="J45" s="133">
        <f>F45*H45</f>
        <v>-430.84879588360246</v>
      </c>
      <c r="K45" s="133"/>
    </row>
    <row r="46" spans="1:11" x14ac:dyDescent="0.2">
      <c r="A46" s="127">
        <f>A45+1</f>
        <v>25</v>
      </c>
      <c r="B46" s="125" t="s">
        <v>94</v>
      </c>
      <c r="C46" s="125"/>
      <c r="D46" s="125">
        <f>$D$37</f>
        <v>2024</v>
      </c>
      <c r="E46" s="125"/>
      <c r="F46" s="131">
        <f>+F45</f>
        <v>-66045.351938875028</v>
      </c>
      <c r="G46" s="131"/>
      <c r="H46" s="134">
        <f>$H$59</f>
        <v>6.5235294117647067E-3</v>
      </c>
      <c r="I46" s="132" t="s">
        <v>303</v>
      </c>
      <c r="J46" s="133">
        <f>F46*H46</f>
        <v>-430.84879588360246</v>
      </c>
      <c r="K46" s="133"/>
    </row>
    <row r="47" spans="1:11" x14ac:dyDescent="0.2">
      <c r="A47" s="127">
        <f>A46+1</f>
        <v>26</v>
      </c>
      <c r="B47" s="125" t="s">
        <v>95</v>
      </c>
      <c r="C47" s="125"/>
      <c r="D47" s="125">
        <f>$D$37</f>
        <v>2024</v>
      </c>
      <c r="E47" s="125"/>
      <c r="F47" s="131">
        <f>+F46</f>
        <v>-66045.351938875028</v>
      </c>
      <c r="G47" s="131"/>
      <c r="H47" s="134">
        <f>$H$59</f>
        <v>6.5235294117647067E-3</v>
      </c>
      <c r="I47" s="132" t="s">
        <v>303</v>
      </c>
      <c r="J47" s="133">
        <f>F47*H47</f>
        <v>-430.84879588360246</v>
      </c>
      <c r="K47" s="133"/>
    </row>
    <row r="48" spans="1:11" x14ac:dyDescent="0.2">
      <c r="A48" s="127"/>
      <c r="B48" s="125"/>
      <c r="C48" s="125"/>
      <c r="D48" s="125"/>
      <c r="E48" s="125"/>
      <c r="F48" s="131"/>
      <c r="G48" s="131"/>
      <c r="H48" s="134"/>
      <c r="I48" s="135"/>
      <c r="J48" s="133"/>
      <c r="K48" s="133"/>
    </row>
    <row r="49" spans="1:11" x14ac:dyDescent="0.2">
      <c r="A49" s="127">
        <f>A47+1</f>
        <v>27</v>
      </c>
      <c r="B49" s="125" t="s">
        <v>96</v>
      </c>
      <c r="C49" s="125"/>
      <c r="D49" s="125">
        <f>$D$37</f>
        <v>2024</v>
      </c>
      <c r="E49" s="125"/>
      <c r="F49" s="131">
        <f>+F47+J47+J46+J45</f>
        <v>-67337.898326525843</v>
      </c>
      <c r="G49" s="131"/>
      <c r="H49" s="134">
        <f>$H$59</f>
        <v>6.5235294117647067E-3</v>
      </c>
      <c r="I49" s="132" t="s">
        <v>303</v>
      </c>
      <c r="J49" s="133">
        <f>F49*H49</f>
        <v>-439.28076025951276</v>
      </c>
      <c r="K49" s="133"/>
    </row>
    <row r="50" spans="1:11" x14ac:dyDescent="0.2">
      <c r="A50" s="127">
        <f>A49+1</f>
        <v>28</v>
      </c>
      <c r="B50" s="125" t="s">
        <v>97</v>
      </c>
      <c r="C50" s="125"/>
      <c r="D50" s="125">
        <f>$D$37</f>
        <v>2024</v>
      </c>
      <c r="E50" s="125"/>
      <c r="F50" s="131">
        <f>+F49</f>
        <v>-67337.898326525843</v>
      </c>
      <c r="G50" s="131"/>
      <c r="H50" s="134">
        <f>$H$59</f>
        <v>6.5235294117647067E-3</v>
      </c>
      <c r="I50" s="132" t="s">
        <v>303</v>
      </c>
      <c r="J50" s="133">
        <f>F50*H50</f>
        <v>-439.28076025951276</v>
      </c>
      <c r="K50" s="133"/>
    </row>
    <row r="51" spans="1:11" x14ac:dyDescent="0.2">
      <c r="A51" s="127">
        <f>A50+1</f>
        <v>29</v>
      </c>
      <c r="B51" s="125" t="s">
        <v>98</v>
      </c>
      <c r="C51" s="125"/>
      <c r="D51" s="125">
        <f>$D$37</f>
        <v>2024</v>
      </c>
      <c r="E51" s="125"/>
      <c r="F51" s="131">
        <f>+F50</f>
        <v>-67337.898326525843</v>
      </c>
      <c r="G51" s="131"/>
      <c r="H51" s="134">
        <f>$H$59</f>
        <v>6.5235294117647067E-3</v>
      </c>
      <c r="I51" s="132" t="s">
        <v>303</v>
      </c>
      <c r="J51" s="133">
        <f>F51*H51</f>
        <v>-439.28076025951276</v>
      </c>
      <c r="K51" s="133"/>
    </row>
    <row r="52" spans="1:11" x14ac:dyDescent="0.2">
      <c r="A52" s="127">
        <f>A51+1</f>
        <v>30</v>
      </c>
      <c r="D52" s="124"/>
      <c r="E52" s="124"/>
      <c r="H52" s="136" t="s">
        <v>304</v>
      </c>
      <c r="J52" s="231">
        <f>SUM(J21:J51)</f>
        <v>-9860.3599574220461</v>
      </c>
      <c r="K52" s="137"/>
    </row>
    <row r="53" spans="1:11" x14ac:dyDescent="0.2">
      <c r="A53" s="127">
        <f>A52+1</f>
        <v>31</v>
      </c>
      <c r="H53" s="136" t="s">
        <v>305</v>
      </c>
      <c r="J53" s="138">
        <f>J15</f>
        <v>-58795.380649882311</v>
      </c>
      <c r="K53" s="138"/>
    </row>
    <row r="54" spans="1:11" ht="13.5" thickBot="1" x14ac:dyDescent="0.25">
      <c r="A54" s="127">
        <f>A53+1</f>
        <v>32</v>
      </c>
      <c r="H54" s="136" t="s">
        <v>306</v>
      </c>
      <c r="J54" s="232">
        <f>+J52+J53</f>
        <v>-68655.740607304353</v>
      </c>
      <c r="K54" s="137"/>
    </row>
    <row r="55" spans="1:11" ht="13.5" thickTop="1" x14ac:dyDescent="0.2">
      <c r="A55" s="127"/>
      <c r="H55" s="136"/>
      <c r="J55" s="137"/>
      <c r="K55" s="137"/>
    </row>
    <row r="56" spans="1:11" x14ac:dyDescent="0.2">
      <c r="A56" s="139" t="s">
        <v>307</v>
      </c>
      <c r="J56" s="137"/>
      <c r="K56" s="137"/>
    </row>
    <row r="57" spans="1:11" x14ac:dyDescent="0.2">
      <c r="A57" s="132" t="s">
        <v>308</v>
      </c>
      <c r="B57" s="120" t="s">
        <v>309</v>
      </c>
      <c r="J57" s="137"/>
      <c r="K57" s="137"/>
    </row>
    <row r="58" spans="1:11" x14ac:dyDescent="0.2">
      <c r="A58" s="132" t="s">
        <v>302</v>
      </c>
      <c r="B58" s="120" t="s">
        <v>310</v>
      </c>
      <c r="J58" s="137"/>
      <c r="K58" s="137"/>
    </row>
    <row r="59" spans="1:11" x14ac:dyDescent="0.2">
      <c r="A59" s="132" t="s">
        <v>303</v>
      </c>
      <c r="B59" s="120" t="s">
        <v>311</v>
      </c>
      <c r="H59" s="233">
        <f>AVERAGE(H21:H23,H25:H27,H29:H31,H33:H35,H37:H39,H41:H42)</f>
        <v>6.5235294117647067E-3</v>
      </c>
      <c r="J59" s="137"/>
      <c r="K59" s="137"/>
    </row>
    <row r="60" spans="1:11" x14ac:dyDescent="0.2">
      <c r="A60" s="127"/>
      <c r="B60" s="120" t="s">
        <v>312</v>
      </c>
      <c r="J60" s="137"/>
      <c r="K60" s="137"/>
    </row>
    <row r="61" spans="1:11" x14ac:dyDescent="0.2">
      <c r="B61" s="120" t="s">
        <v>313</v>
      </c>
    </row>
  </sheetData>
  <mergeCells count="3">
    <mergeCell ref="A6:L6"/>
    <mergeCell ref="B18:D18"/>
    <mergeCell ref="A2:O2"/>
  </mergeCells>
  <pageMargins left="0.22" right="0.28000000000000003" top="0.75" bottom="0.75" header="0.3" footer="0.3"/>
  <pageSetup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537B-E8B7-40AE-B4AC-5234999DC233}">
  <sheetPr>
    <pageSetUpPr fitToPage="1"/>
  </sheetPr>
  <dimension ref="A1:L31"/>
  <sheetViews>
    <sheetView view="pageBreakPreview" topLeftCell="A4" zoomScale="70" zoomScaleNormal="75" zoomScaleSheetLayoutView="70" workbookViewId="0">
      <selection activeCell="Q47" sqref="Q47"/>
    </sheetView>
  </sheetViews>
  <sheetFormatPr defaultColWidth="8.88671875" defaultRowHeight="15" x14ac:dyDescent="0.2"/>
  <cols>
    <col min="1" max="1" width="37.5546875" customWidth="1"/>
    <col min="2" max="2" width="24.5546875" customWidth="1"/>
    <col min="3" max="6" width="11.77734375" customWidth="1"/>
    <col min="7" max="7" width="2.109375" customWidth="1"/>
    <col min="8" max="8" width="9.88671875" customWidth="1"/>
    <col min="9" max="9" width="8.6640625" customWidth="1"/>
    <col min="10" max="10" width="10.6640625" customWidth="1"/>
  </cols>
  <sheetData>
    <row r="1" spans="1:12" x14ac:dyDescent="0.2">
      <c r="A1" s="249" t="str">
        <f>'WS 1 - Wholesale Charges'!A1:P1</f>
        <v>Versant Power - Bangor Hydro District (BHD)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x14ac:dyDescent="0.2">
      <c r="A2" s="249" t="str">
        <f>'WS 1 - Wholesale Charges'!A2:P2</f>
        <v>Attachment 2 - Calculations in Support of Schedule 21-VP Rates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2" x14ac:dyDescent="0.2">
      <c r="A3" s="249" t="str">
        <f>'WS 1 - Wholesale Charges'!A3:P3</f>
        <v>Jan 1, 2025 through Dec 31, 2025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2" x14ac:dyDescent="0.2">
      <c r="A4" s="249" t="s">
        <v>317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2" x14ac:dyDescent="0.2">
      <c r="A5" s="249" t="s">
        <v>318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2" x14ac:dyDescent="0.2">
      <c r="A6" s="249" t="str">
        <f>'WS 1 - Wholesale Charges'!A6:P6</f>
        <v>Implemented Charges Based on 2023 Data and Certain Forecasts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</row>
    <row r="7" spans="1:12" ht="15.75" x14ac:dyDescent="0.25">
      <c r="A7" s="97"/>
      <c r="B7" s="1"/>
    </row>
    <row r="8" spans="1:12" ht="15.75" x14ac:dyDescent="0.25">
      <c r="A8" s="1"/>
      <c r="B8" s="1"/>
    </row>
    <row r="9" spans="1:12" ht="15.75" x14ac:dyDescent="0.25">
      <c r="A9" s="1"/>
      <c r="B9" s="1"/>
      <c r="L9" s="45"/>
    </row>
    <row r="10" spans="1:12" ht="15.6" customHeight="1" x14ac:dyDescent="0.25">
      <c r="A10" s="235"/>
      <c r="B10" s="236"/>
      <c r="C10" s="258" t="s">
        <v>319</v>
      </c>
      <c r="D10" s="259"/>
      <c r="E10" s="258" t="s">
        <v>320</v>
      </c>
      <c r="F10" s="259"/>
      <c r="H10" s="261" t="s">
        <v>321</v>
      </c>
      <c r="I10" s="262"/>
      <c r="J10" s="260"/>
      <c r="K10" s="260"/>
    </row>
    <row r="11" spans="1:12" ht="15.75" x14ac:dyDescent="0.25">
      <c r="A11" s="46"/>
      <c r="B11" s="115" t="s">
        <v>322</v>
      </c>
      <c r="C11" s="237"/>
      <c r="D11" s="237"/>
      <c r="E11" s="237"/>
      <c r="F11" s="237"/>
      <c r="H11" s="238" t="s">
        <v>323</v>
      </c>
      <c r="I11" s="238" t="s">
        <v>324</v>
      </c>
      <c r="J11" s="1"/>
      <c r="K11" s="1"/>
    </row>
    <row r="12" spans="1:12" ht="15.75" x14ac:dyDescent="0.25">
      <c r="A12" s="46"/>
      <c r="B12" s="116" t="s">
        <v>325</v>
      </c>
      <c r="C12" s="238" t="s">
        <v>323</v>
      </c>
      <c r="D12" s="239" t="s">
        <v>324</v>
      </c>
      <c r="E12" s="238" t="s">
        <v>323</v>
      </c>
      <c r="F12" s="238" t="s">
        <v>324</v>
      </c>
      <c r="H12" s="238" t="s">
        <v>326</v>
      </c>
      <c r="I12" s="238" t="s">
        <v>326</v>
      </c>
      <c r="J12" s="12"/>
      <c r="K12" s="12"/>
    </row>
    <row r="13" spans="1:12" x14ac:dyDescent="0.2">
      <c r="A13" s="46" t="s">
        <v>149</v>
      </c>
      <c r="B13" s="47" t="s">
        <v>327</v>
      </c>
      <c r="C13" s="240"/>
      <c r="D13" s="241">
        <f>ROUND('WS 10 - Rate Conversion'!F115,5)</f>
        <v>5.6460000000000003E-2</v>
      </c>
      <c r="E13" s="240"/>
      <c r="F13" s="242">
        <v>4.5440000000000001E-2</v>
      </c>
      <c r="H13" s="243"/>
      <c r="I13" s="244">
        <f>(+D13-F13)/F13</f>
        <v>0.24251760563380287</v>
      </c>
      <c r="J13" s="48"/>
      <c r="K13" s="48"/>
    </row>
    <row r="14" spans="1:12" x14ac:dyDescent="0.2">
      <c r="A14" s="46" t="s">
        <v>150</v>
      </c>
      <c r="B14" s="47" t="s">
        <v>328</v>
      </c>
      <c r="C14" s="49"/>
      <c r="D14" s="5">
        <f>ROUND('WS 10 - Rate Conversion'!F116,5)</f>
        <v>4.8649999999999999E-2</v>
      </c>
      <c r="E14" s="49"/>
      <c r="F14" s="102">
        <v>4.4769999999999997E-2</v>
      </c>
      <c r="H14" s="95"/>
      <c r="I14" s="96">
        <f>(+D14-F14)/F14</f>
        <v>8.6665177574268518E-2</v>
      </c>
      <c r="J14" s="48"/>
      <c r="K14" s="48"/>
    </row>
    <row r="15" spans="1:12" x14ac:dyDescent="0.2">
      <c r="A15" s="46" t="s">
        <v>151</v>
      </c>
      <c r="B15" s="47" t="s">
        <v>329</v>
      </c>
      <c r="C15" s="50">
        <f>ROUND('WS 10 - Rate Conversion'!E117,2)</f>
        <v>18.03</v>
      </c>
      <c r="D15" s="5"/>
      <c r="E15" s="103">
        <v>18.02</v>
      </c>
      <c r="F15" s="102"/>
      <c r="H15" s="95">
        <f>(+C15-E15)/E15</f>
        <v>5.5493895671484812E-4</v>
      </c>
      <c r="I15" s="96"/>
      <c r="J15" s="48"/>
      <c r="K15" s="48"/>
    </row>
    <row r="16" spans="1:12" x14ac:dyDescent="0.2">
      <c r="A16" s="46" t="s">
        <v>152</v>
      </c>
      <c r="B16" s="47" t="s">
        <v>330</v>
      </c>
      <c r="C16" s="50">
        <f>ROUND('WS 10 - Rate Conversion'!E118,2)</f>
        <v>17.41</v>
      </c>
      <c r="D16" s="5"/>
      <c r="E16" s="103">
        <v>17.399999999999999</v>
      </c>
      <c r="F16" s="102"/>
      <c r="H16" s="95">
        <f t="shared" ref="H16:H19" si="0">(+C16-E16)/E16</f>
        <v>5.7471264367825079E-4</v>
      </c>
      <c r="I16" s="96"/>
      <c r="J16" s="48"/>
      <c r="K16" s="48"/>
    </row>
    <row r="17" spans="1:11" x14ac:dyDescent="0.2">
      <c r="A17" s="46" t="s">
        <v>153</v>
      </c>
      <c r="B17" s="47" t="s">
        <v>331</v>
      </c>
      <c r="C17" s="50">
        <f>ROUND('WS 10 - Rate Conversion'!E119,2)</f>
        <v>17.41</v>
      </c>
      <c r="D17" s="5"/>
      <c r="E17" s="103">
        <v>17.399999999999999</v>
      </c>
      <c r="F17" s="102"/>
      <c r="H17" s="95">
        <f t="shared" si="0"/>
        <v>5.7471264367825079E-4</v>
      </c>
      <c r="I17" s="96"/>
      <c r="J17" s="48"/>
      <c r="K17" s="48"/>
    </row>
    <row r="18" spans="1:11" x14ac:dyDescent="0.2">
      <c r="A18" s="46" t="s">
        <v>154</v>
      </c>
      <c r="B18" s="47" t="s">
        <v>332</v>
      </c>
      <c r="C18" s="50">
        <f>ROUND('WS 10 - Rate Conversion'!E120,2)</f>
        <v>16.77</v>
      </c>
      <c r="D18" s="5"/>
      <c r="E18" s="103">
        <v>16.760000000000002</v>
      </c>
      <c r="F18" s="102"/>
      <c r="H18" s="95">
        <f t="shared" si="0"/>
        <v>5.9665871121706497E-4</v>
      </c>
      <c r="I18" s="96"/>
      <c r="J18" s="48"/>
      <c r="K18" s="48"/>
    </row>
    <row r="19" spans="1:11" x14ac:dyDescent="0.2">
      <c r="A19" s="46" t="s">
        <v>130</v>
      </c>
      <c r="B19" s="47" t="s">
        <v>332</v>
      </c>
      <c r="C19" s="50">
        <f>ROUND('WS 10 - Rate Conversion'!E121,2)</f>
        <v>5.19</v>
      </c>
      <c r="D19" s="5"/>
      <c r="E19" s="103">
        <v>1.94</v>
      </c>
      <c r="F19" s="102"/>
      <c r="H19" s="95">
        <f t="shared" si="0"/>
        <v>1.6752577319587632</v>
      </c>
      <c r="I19" s="96"/>
      <c r="J19" s="48"/>
      <c r="K19" s="48"/>
    </row>
    <row r="20" spans="1:11" x14ac:dyDescent="0.2">
      <c r="A20" s="46" t="s">
        <v>155</v>
      </c>
      <c r="B20" s="47" t="s">
        <v>333</v>
      </c>
      <c r="C20" s="51"/>
      <c r="D20" s="5">
        <f>ROUND('WS 10 - Rate Conversion'!F123,5)</f>
        <v>2.3709999999999998E-2</v>
      </c>
      <c r="E20" s="104"/>
      <c r="F20" s="102">
        <v>2.232E-2</v>
      </c>
      <c r="H20" s="95"/>
      <c r="I20" s="96">
        <f t="shared" ref="I20:I24" si="1">(+D20-F20)/F20</f>
        <v>6.2275985663082387E-2</v>
      </c>
      <c r="J20" s="48"/>
      <c r="K20" s="48"/>
    </row>
    <row r="21" spans="1:11" x14ac:dyDescent="0.2">
      <c r="A21" s="46" t="s">
        <v>156</v>
      </c>
      <c r="B21" s="47" t="s">
        <v>334</v>
      </c>
      <c r="C21" s="51"/>
      <c r="D21" s="5">
        <f>ROUND('WS 10 - Rate Conversion'!F124,5)</f>
        <v>2.3709999999999998E-2</v>
      </c>
      <c r="E21" s="104"/>
      <c r="F21" s="102">
        <v>2.232E-2</v>
      </c>
      <c r="H21" s="95"/>
      <c r="I21" s="96">
        <f t="shared" si="1"/>
        <v>6.2275985663082387E-2</v>
      </c>
      <c r="J21" s="48"/>
      <c r="K21" s="48"/>
    </row>
    <row r="22" spans="1:11" x14ac:dyDescent="0.2">
      <c r="A22" s="46" t="s">
        <v>157</v>
      </c>
      <c r="B22" s="47"/>
      <c r="C22" s="50"/>
      <c r="D22" s="5">
        <f>ROUND('WS 10 - Rate Conversion'!F125,5)</f>
        <v>4.4589999999999998E-2</v>
      </c>
      <c r="E22" s="103"/>
      <c r="F22" s="102">
        <v>4.0640000000000003E-2</v>
      </c>
      <c r="H22" s="95"/>
      <c r="I22" s="96">
        <f t="shared" si="1"/>
        <v>9.7194881889763649E-2</v>
      </c>
      <c r="J22" s="48"/>
      <c r="K22" s="48"/>
    </row>
    <row r="23" spans="1:11" x14ac:dyDescent="0.2">
      <c r="A23" s="46" t="s">
        <v>158</v>
      </c>
      <c r="B23" s="47"/>
      <c r="C23" s="50"/>
      <c r="D23" s="5">
        <f>ROUND('WS 10 - Rate Conversion'!F126,5)</f>
        <v>4.3180000000000003E-2</v>
      </c>
      <c r="E23" s="103"/>
      <c r="F23" s="102">
        <v>3.9359999999999999E-2</v>
      </c>
      <c r="H23" s="95"/>
      <c r="I23" s="96">
        <f t="shared" si="1"/>
        <v>9.7052845528455389E-2</v>
      </c>
      <c r="J23" s="48"/>
      <c r="K23" s="48"/>
    </row>
    <row r="24" spans="1:11" x14ac:dyDescent="0.2">
      <c r="A24" s="46" t="s">
        <v>159</v>
      </c>
      <c r="B24" s="47"/>
      <c r="C24" s="50"/>
      <c r="D24" s="5">
        <f>ROUND('WS 10 - Rate Conversion'!F127,5)</f>
        <v>4.1860000000000001E-2</v>
      </c>
      <c r="E24" s="103"/>
      <c r="F24" s="102">
        <v>3.8150000000000003E-2</v>
      </c>
      <c r="H24" s="95"/>
      <c r="I24" s="96">
        <f t="shared" si="1"/>
        <v>9.7247706422018285E-2</v>
      </c>
      <c r="J24" s="48"/>
      <c r="K24" s="48"/>
    </row>
    <row r="25" spans="1:11" x14ac:dyDescent="0.2">
      <c r="A25" s="46" t="s">
        <v>134</v>
      </c>
      <c r="B25" s="47" t="s">
        <v>335</v>
      </c>
      <c r="C25" s="50">
        <f>ROUND('WS 10 - Rate Conversion'!E128,2)</f>
        <v>30.27</v>
      </c>
      <c r="D25" s="39"/>
      <c r="E25" s="103">
        <v>26.18</v>
      </c>
      <c r="F25" s="105"/>
      <c r="H25" s="95">
        <f t="shared" ref="H25:H30" si="2">(+C25-E25)/E25</f>
        <v>0.1562261268143621</v>
      </c>
      <c r="I25" s="96"/>
      <c r="J25" s="48"/>
      <c r="K25" s="48"/>
    </row>
    <row r="26" spans="1:11" x14ac:dyDescent="0.2">
      <c r="A26" s="46" t="s">
        <v>135</v>
      </c>
      <c r="B26" s="47" t="s">
        <v>336</v>
      </c>
      <c r="C26" s="50">
        <f>ROUND('WS 10 - Rate Conversion'!E129,2)</f>
        <v>29.23</v>
      </c>
      <c r="D26" s="39"/>
      <c r="E26" s="103">
        <v>25.28</v>
      </c>
      <c r="F26" s="105"/>
      <c r="H26" s="95">
        <f t="shared" si="2"/>
        <v>0.15624999999999997</v>
      </c>
      <c r="I26" s="96"/>
      <c r="J26" s="48"/>
      <c r="K26" s="48"/>
    </row>
    <row r="27" spans="1:11" x14ac:dyDescent="0.2">
      <c r="A27" s="46" t="s">
        <v>136</v>
      </c>
      <c r="B27" s="47" t="s">
        <v>332</v>
      </c>
      <c r="C27" s="50">
        <f>ROUND('WS 10 - Rate Conversion'!E130,2)</f>
        <v>28.15</v>
      </c>
      <c r="D27" s="39"/>
      <c r="E27" s="103">
        <v>24.35</v>
      </c>
      <c r="F27" s="105"/>
      <c r="H27" s="95">
        <f t="shared" si="2"/>
        <v>0.15605749486652964</v>
      </c>
      <c r="I27" s="96"/>
      <c r="J27" s="48"/>
      <c r="K27" s="48"/>
    </row>
    <row r="28" spans="1:11" x14ac:dyDescent="0.2">
      <c r="A28" s="46" t="s">
        <v>137</v>
      </c>
      <c r="B28" s="47" t="s">
        <v>332</v>
      </c>
      <c r="C28" s="50">
        <f>ROUND('WS 10 - Rate Conversion'!E131,2)</f>
        <v>27.47</v>
      </c>
      <c r="D28" s="39"/>
      <c r="E28" s="103">
        <v>23.76</v>
      </c>
      <c r="F28" s="105"/>
      <c r="H28" s="95">
        <f t="shared" si="2"/>
        <v>0.15614478114478103</v>
      </c>
      <c r="I28" s="96"/>
      <c r="J28" s="48"/>
      <c r="K28" s="48"/>
    </row>
    <row r="29" spans="1:11" x14ac:dyDescent="0.2">
      <c r="A29" s="46"/>
      <c r="B29" s="47"/>
      <c r="C29" s="47"/>
      <c r="D29" s="39"/>
      <c r="E29" s="47"/>
      <c r="F29" s="105"/>
      <c r="H29" s="95"/>
      <c r="I29" s="96"/>
      <c r="J29" s="48"/>
      <c r="K29" s="48"/>
    </row>
    <row r="30" spans="1:11" x14ac:dyDescent="0.2">
      <c r="A30" s="52" t="s">
        <v>337</v>
      </c>
      <c r="B30" s="245"/>
      <c r="C30" s="106">
        <f>ROUND(('WS 1 - Wholesale Charges'!E18+'WS 1 - Wholesale Charges'!E22+'WS 1 - Wholesale Charges'!E30+'WS 1 - Wholesale Charges'!E38)/1000,2)</f>
        <v>25.66</v>
      </c>
      <c r="D30" s="189"/>
      <c r="E30" s="106">
        <v>22.15</v>
      </c>
      <c r="F30" s="107"/>
      <c r="H30" s="246">
        <f t="shared" si="2"/>
        <v>0.15846501128668181</v>
      </c>
      <c r="I30" s="247"/>
      <c r="J30" s="48"/>
      <c r="K30" s="48"/>
    </row>
    <row r="31" spans="1:11" x14ac:dyDescent="0.2">
      <c r="K31" s="48"/>
    </row>
  </sheetData>
  <mergeCells count="10">
    <mergeCell ref="A6:K6"/>
    <mergeCell ref="E10:F10"/>
    <mergeCell ref="A1:K1"/>
    <mergeCell ref="A2:K2"/>
    <mergeCell ref="A3:K3"/>
    <mergeCell ref="A4:K4"/>
    <mergeCell ref="A5:K5"/>
    <mergeCell ref="J10:K10"/>
    <mergeCell ref="C10:D10"/>
    <mergeCell ref="H10:I10"/>
  </mergeCells>
  <pageMargins left="0.5" right="0.5" top="0.5" bottom="0.5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6628-ED31-49F2-8545-EB31999B8795}">
  <sheetPr transitionEvaluation="1">
    <pageSetUpPr fitToPage="1"/>
  </sheetPr>
  <dimension ref="A1:O42"/>
  <sheetViews>
    <sheetView view="pageBreakPreview" topLeftCell="A6" zoomScale="70" zoomScaleNormal="70" zoomScaleSheetLayoutView="70" workbookViewId="0">
      <selection activeCell="C21" sqref="C21"/>
    </sheetView>
  </sheetViews>
  <sheetFormatPr defaultColWidth="9.77734375" defaultRowHeight="15" x14ac:dyDescent="0.2"/>
  <cols>
    <col min="1" max="1" width="4.77734375" customWidth="1"/>
    <col min="2" max="2" width="51" customWidth="1"/>
    <col min="3" max="3" width="15.88671875" style="3" customWidth="1"/>
    <col min="4" max="7" width="15.77734375" style="4" customWidth="1"/>
    <col min="8" max="8" width="15.77734375" style="5" customWidth="1"/>
    <col min="9" max="9" width="3.5546875" customWidth="1"/>
    <col min="10" max="10" width="91.6640625" customWidth="1"/>
    <col min="11" max="11" width="5.6640625" customWidth="1"/>
  </cols>
  <sheetData>
    <row r="1" spans="1:15" x14ac:dyDescent="0.2">
      <c r="A1" s="249" t="str">
        <f>'WS 1 - Wholesale Charges'!A1:P1</f>
        <v>Versant Power - Bangor Hydro District (BHD)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15" x14ac:dyDescent="0.2">
      <c r="A2" s="249" t="str">
        <f>'WS 1 - Wholesale Charges'!A2:P2</f>
        <v>Attachment 2 - Calculations in Support of Schedule 21-VP Rates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x14ac:dyDescent="0.2">
      <c r="A3" s="249" t="str">
        <f>'WS 1 - Wholesale Charges'!A3:P3</f>
        <v>Jan 1, 2025 through Dec 31, 2025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x14ac:dyDescent="0.2">
      <c r="A4" s="249" t="s">
        <v>51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x14ac:dyDescent="0.2">
      <c r="A5" s="249" t="s">
        <v>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1:15" ht="18" customHeight="1" x14ac:dyDescent="0.2">
      <c r="A6" s="249" t="str">
        <f>'WS 1 - Wholesale Charges'!A6:P6</f>
        <v>Implemented Charges Based on 2023 Data and Certain Forecasts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1:15" ht="15.75" x14ac:dyDescent="0.25">
      <c r="A7" s="97"/>
      <c r="B7" s="1"/>
      <c r="C7" s="6"/>
      <c r="D7" s="7"/>
      <c r="E7" s="7"/>
      <c r="F7" s="7"/>
      <c r="G7" s="7"/>
      <c r="H7" s="8"/>
      <c r="I7" s="1"/>
      <c r="J7" s="1"/>
    </row>
    <row r="9" spans="1:15" ht="15.75" x14ac:dyDescent="0.25">
      <c r="C9" s="9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1" t="s">
        <v>11</v>
      </c>
      <c r="I9" s="12"/>
      <c r="J9" s="12"/>
      <c r="K9" s="12"/>
    </row>
    <row r="10" spans="1:15" ht="15.75" x14ac:dyDescent="0.25">
      <c r="C10" s="9"/>
      <c r="D10" s="10"/>
      <c r="E10" s="13" t="s">
        <v>12</v>
      </c>
      <c r="F10" s="13" t="s">
        <v>13</v>
      </c>
      <c r="G10" s="13" t="s">
        <v>14</v>
      </c>
      <c r="H10" s="14" t="s">
        <v>15</v>
      </c>
      <c r="I10" s="15"/>
      <c r="J10" s="12"/>
      <c r="K10" s="12"/>
    </row>
    <row r="11" spans="1:15" ht="15.75" x14ac:dyDescent="0.25">
      <c r="C11" s="9"/>
      <c r="D11" s="10"/>
      <c r="E11" s="10"/>
      <c r="F11" s="10"/>
      <c r="G11" s="10"/>
      <c r="H11" s="11"/>
      <c r="I11" s="12"/>
      <c r="J11" s="12"/>
      <c r="K11" s="12"/>
    </row>
    <row r="12" spans="1:15" ht="15.75" x14ac:dyDescent="0.25">
      <c r="A12" s="12"/>
      <c r="B12" s="1"/>
      <c r="C12" s="9"/>
      <c r="D12" s="248" t="s">
        <v>16</v>
      </c>
      <c r="E12" s="248"/>
      <c r="F12" s="248"/>
      <c r="G12" s="248"/>
      <c r="H12" s="248"/>
      <c r="I12" s="12"/>
      <c r="J12" s="12"/>
    </row>
    <row r="13" spans="1:15" ht="15.75" x14ac:dyDescent="0.25">
      <c r="A13" s="12"/>
      <c r="B13" s="1"/>
      <c r="C13" s="9"/>
      <c r="D13" s="16" t="s">
        <v>17</v>
      </c>
      <c r="E13" s="10" t="s">
        <v>18</v>
      </c>
      <c r="F13" s="10" t="s">
        <v>19</v>
      </c>
      <c r="G13" s="10" t="s">
        <v>20</v>
      </c>
      <c r="H13" s="11" t="s">
        <v>21</v>
      </c>
      <c r="I13" s="12"/>
      <c r="J13" s="12"/>
    </row>
    <row r="14" spans="1:15" ht="15.75" x14ac:dyDescent="0.25">
      <c r="A14" s="176" t="s">
        <v>22</v>
      </c>
      <c r="B14" s="177"/>
      <c r="C14" s="178" t="s">
        <v>23</v>
      </c>
      <c r="D14" s="179" t="s">
        <v>24</v>
      </c>
      <c r="E14" s="179" t="s">
        <v>25</v>
      </c>
      <c r="F14" s="179" t="s">
        <v>26</v>
      </c>
      <c r="G14" s="179" t="s">
        <v>27</v>
      </c>
      <c r="H14" s="180" t="s">
        <v>28</v>
      </c>
      <c r="I14" s="176"/>
      <c r="J14" s="176" t="s">
        <v>29</v>
      </c>
    </row>
    <row r="15" spans="1:15" x14ac:dyDescent="0.2">
      <c r="A15" s="17"/>
      <c r="C15" s="18"/>
      <c r="D15" s="19"/>
      <c r="H15" s="20"/>
      <c r="I15" s="17"/>
      <c r="J15" s="21"/>
    </row>
    <row r="16" spans="1:15" ht="15.75" x14ac:dyDescent="0.25">
      <c r="A16" s="17">
        <v>1</v>
      </c>
      <c r="B16" s="1" t="s">
        <v>30</v>
      </c>
      <c r="C16" s="101"/>
      <c r="D16" s="19"/>
      <c r="J16" s="21"/>
    </row>
    <row r="17" spans="1:10" x14ac:dyDescent="0.2">
      <c r="A17" s="17">
        <v>2</v>
      </c>
      <c r="B17" t="s">
        <v>31</v>
      </c>
      <c r="C17" s="101">
        <f>'WS 5 - Sched, Sys Control, Disp'!C23</f>
        <v>205388.69540032771</v>
      </c>
      <c r="J17" s="21" t="s">
        <v>32</v>
      </c>
    </row>
    <row r="18" spans="1:10" x14ac:dyDescent="0.2">
      <c r="A18" s="17">
        <v>3</v>
      </c>
      <c r="B18" t="s">
        <v>30</v>
      </c>
      <c r="C18" s="101"/>
      <c r="D18" s="22">
        <f>+C17/'WS 4  - Peak Loads'!H30</f>
        <v>819.09748913390911</v>
      </c>
      <c r="E18" s="19">
        <f>+D18/12</f>
        <v>68.25812409449243</v>
      </c>
      <c r="F18" s="19">
        <f>+D18/52</f>
        <v>15.751874791036714</v>
      </c>
      <c r="G18" s="19">
        <f>+D18/365</f>
        <v>2.2441027099559152</v>
      </c>
      <c r="H18" s="20">
        <f>+D18/8760</f>
        <v>9.3504279581496472E-2</v>
      </c>
      <c r="I18" s="23"/>
      <c r="J18" s="21" t="s">
        <v>33</v>
      </c>
    </row>
    <row r="19" spans="1:10" x14ac:dyDescent="0.2">
      <c r="A19" s="17">
        <v>4</v>
      </c>
      <c r="C19" s="101"/>
      <c r="D19" s="19"/>
      <c r="E19" s="19"/>
      <c r="F19" s="19"/>
      <c r="G19" s="19"/>
      <c r="H19" s="20"/>
      <c r="I19" s="23"/>
      <c r="J19" s="21"/>
    </row>
    <row r="20" spans="1:10" ht="15.75" x14ac:dyDescent="0.25">
      <c r="A20" s="17">
        <v>5</v>
      </c>
      <c r="B20" s="1" t="s">
        <v>53</v>
      </c>
      <c r="C20" s="101"/>
      <c r="D20" s="19"/>
      <c r="E20" s="19"/>
      <c r="F20" s="19"/>
      <c r="G20" s="19"/>
      <c r="H20" s="20"/>
      <c r="I20" s="23"/>
      <c r="J20" s="21"/>
    </row>
    <row r="21" spans="1:10" x14ac:dyDescent="0.2">
      <c r="A21" s="17">
        <v>6</v>
      </c>
      <c r="B21" t="s">
        <v>35</v>
      </c>
      <c r="C21" s="165">
        <f>'WS 1 - Wholesale Charges'!C21</f>
        <v>25671727.21787858</v>
      </c>
      <c r="D21" s="19"/>
      <c r="E21" s="19"/>
      <c r="F21" s="19"/>
      <c r="G21" s="19"/>
      <c r="H21" s="20"/>
      <c r="I21" s="23"/>
      <c r="J21" s="21" t="s">
        <v>36</v>
      </c>
    </row>
    <row r="22" spans="1:10" ht="15.75" x14ac:dyDescent="0.25">
      <c r="A22" s="17">
        <v>7</v>
      </c>
      <c r="B22" t="s">
        <v>37</v>
      </c>
      <c r="C22" s="109"/>
      <c r="D22" s="22">
        <f>+C21/'WS 4  - Peak Loads'!H30</f>
        <v>102379.76956282584</v>
      </c>
      <c r="E22" s="19">
        <f>+D22/12</f>
        <v>8531.6474635688191</v>
      </c>
      <c r="F22" s="19">
        <f>+D22/52</f>
        <v>1968.8417223620354</v>
      </c>
      <c r="G22" s="19">
        <f>+D22/365</f>
        <v>280.49251935020777</v>
      </c>
      <c r="H22" s="20">
        <f>+D22/8760</f>
        <v>11.687188306258657</v>
      </c>
      <c r="I22" s="23"/>
      <c r="J22" s="21" t="s">
        <v>38</v>
      </c>
    </row>
    <row r="23" spans="1:10" ht="15.75" x14ac:dyDescent="0.25">
      <c r="A23" s="17">
        <v>8</v>
      </c>
      <c r="B23" s="25" t="s">
        <v>39</v>
      </c>
      <c r="C23" s="109"/>
      <c r="D23" s="19"/>
      <c r="E23" s="19"/>
      <c r="F23" s="19"/>
      <c r="G23" s="19"/>
      <c r="H23" s="20"/>
      <c r="I23" s="23"/>
      <c r="J23" s="21"/>
    </row>
    <row r="24" spans="1:10" x14ac:dyDescent="0.2">
      <c r="A24" s="17">
        <v>9</v>
      </c>
      <c r="B24" s="25" t="s">
        <v>40</v>
      </c>
      <c r="C24" s="101"/>
      <c r="D24" s="19"/>
      <c r="E24" s="19"/>
      <c r="F24" s="19"/>
      <c r="G24" s="19"/>
      <c r="H24" s="20"/>
      <c r="I24" s="23"/>
      <c r="J24" s="21"/>
    </row>
    <row r="25" spans="1:10" x14ac:dyDescent="0.2">
      <c r="A25" s="17">
        <v>10</v>
      </c>
      <c r="B25" s="25" t="s">
        <v>41</v>
      </c>
      <c r="C25" s="101"/>
      <c r="D25" s="19"/>
      <c r="E25" s="19"/>
      <c r="F25" s="19"/>
      <c r="G25" s="19"/>
      <c r="H25" s="20"/>
      <c r="I25" s="23"/>
      <c r="J25" s="21"/>
    </row>
    <row r="26" spans="1:10" x14ac:dyDescent="0.2">
      <c r="A26" s="17">
        <v>11</v>
      </c>
      <c r="B26" s="25" t="s">
        <v>42</v>
      </c>
      <c r="C26" s="101"/>
      <c r="D26" s="19"/>
      <c r="E26" s="19"/>
      <c r="F26" s="19"/>
      <c r="G26" s="19"/>
      <c r="H26" s="20"/>
      <c r="I26" s="23"/>
      <c r="J26" s="21"/>
    </row>
    <row r="27" spans="1:10" x14ac:dyDescent="0.2">
      <c r="C27" s="100"/>
      <c r="J27" s="21"/>
    </row>
    <row r="28" spans="1:10" x14ac:dyDescent="0.2">
      <c r="C28" s="100"/>
      <c r="J28" s="21"/>
    </row>
    <row r="29" spans="1:10" x14ac:dyDescent="0.2">
      <c r="J29" s="21"/>
    </row>
    <row r="30" spans="1:10" x14ac:dyDescent="0.2">
      <c r="J30" s="21"/>
    </row>
    <row r="31" spans="1:10" x14ac:dyDescent="0.2">
      <c r="J31" s="21"/>
    </row>
    <row r="32" spans="1:10" x14ac:dyDescent="0.2">
      <c r="J32" s="21"/>
    </row>
    <row r="33" spans="5:10" x14ac:dyDescent="0.2">
      <c r="J33" s="21"/>
    </row>
    <row r="34" spans="5:10" x14ac:dyDescent="0.2">
      <c r="E34" s="99"/>
      <c r="J34" s="21"/>
    </row>
    <row r="35" spans="5:10" x14ac:dyDescent="0.2">
      <c r="J35" s="21"/>
    </row>
    <row r="36" spans="5:10" x14ac:dyDescent="0.2">
      <c r="J36" s="21"/>
    </row>
    <row r="37" spans="5:10" x14ac:dyDescent="0.2">
      <c r="J37" s="21"/>
    </row>
    <row r="38" spans="5:10" x14ac:dyDescent="0.2">
      <c r="J38" s="21"/>
    </row>
    <row r="39" spans="5:10" x14ac:dyDescent="0.2">
      <c r="J39" s="21"/>
    </row>
    <row r="40" spans="5:10" x14ac:dyDescent="0.2">
      <c r="J40" s="21"/>
    </row>
    <row r="41" spans="5:10" x14ac:dyDescent="0.2">
      <c r="J41" s="21"/>
    </row>
    <row r="42" spans="5:10" x14ac:dyDescent="0.2">
      <c r="J42" s="21"/>
    </row>
  </sheetData>
  <mergeCells count="7">
    <mergeCell ref="D12:H12"/>
    <mergeCell ref="A1:O1"/>
    <mergeCell ref="A2:O2"/>
    <mergeCell ref="A3:O3"/>
    <mergeCell ref="A4:O4"/>
    <mergeCell ref="A5:O5"/>
    <mergeCell ref="A6:O6"/>
  </mergeCells>
  <pageMargins left="0.5" right="0.5" top="0.5" bottom="0.5" header="0.5" footer="0.5"/>
  <pageSetup paperSize="5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8779-AF63-413A-A675-E27960522792}">
  <sheetPr transitionEvaluation="1">
    <pageSetUpPr fitToPage="1"/>
  </sheetPr>
  <dimension ref="A1:R48"/>
  <sheetViews>
    <sheetView view="pageBreakPreview" topLeftCell="A12" zoomScale="70" zoomScaleNormal="70" zoomScaleSheetLayoutView="70" workbookViewId="0">
      <selection activeCell="B12" sqref="B12"/>
    </sheetView>
  </sheetViews>
  <sheetFormatPr defaultColWidth="9.77734375" defaultRowHeight="15" x14ac:dyDescent="0.2"/>
  <cols>
    <col min="1" max="1" width="4.77734375" customWidth="1"/>
    <col min="2" max="2" width="51" customWidth="1"/>
    <col min="3" max="3" width="14.5546875" style="3" customWidth="1"/>
    <col min="4" max="7" width="15.77734375" style="4" customWidth="1"/>
    <col min="8" max="8" width="15.77734375" style="5" customWidth="1"/>
    <col min="9" max="9" width="3.5546875" customWidth="1"/>
    <col min="10" max="10" width="45.5546875" customWidth="1"/>
    <col min="11" max="11" width="13" customWidth="1"/>
    <col min="12" max="13" width="12.44140625" customWidth="1"/>
    <col min="14" max="14" width="11.44140625" customWidth="1"/>
    <col min="15" max="15" width="10.44140625" customWidth="1"/>
    <col min="17" max="17" width="10.77734375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54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55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ht="18" customHeight="1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B7" s="1"/>
      <c r="C7" s="6"/>
      <c r="D7" s="7"/>
      <c r="E7" s="7"/>
      <c r="F7" s="7"/>
      <c r="G7" s="7"/>
      <c r="H7" s="8"/>
      <c r="I7" s="1"/>
      <c r="J7" s="1"/>
      <c r="K7" s="1"/>
    </row>
    <row r="9" spans="1:16" ht="15.75" x14ac:dyDescent="0.25">
      <c r="C9" s="9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1" t="s">
        <v>11</v>
      </c>
      <c r="I9" s="12"/>
      <c r="J9" s="12"/>
      <c r="K9" s="12"/>
      <c r="L9" s="12"/>
    </row>
    <row r="10" spans="1:16" ht="15.75" x14ac:dyDescent="0.25">
      <c r="C10" s="9"/>
      <c r="D10" s="10"/>
      <c r="E10" s="13" t="s">
        <v>12</v>
      </c>
      <c r="F10" s="13" t="s">
        <v>13</v>
      </c>
      <c r="G10" s="13" t="s">
        <v>14</v>
      </c>
      <c r="H10" s="14" t="s">
        <v>15</v>
      </c>
      <c r="I10" s="15"/>
      <c r="J10" s="12"/>
      <c r="K10" s="12"/>
      <c r="L10" s="12"/>
    </row>
    <row r="11" spans="1:16" ht="15.75" x14ac:dyDescent="0.25">
      <c r="C11" s="9"/>
      <c r="D11" s="10"/>
      <c r="E11" s="10"/>
      <c r="F11" s="10"/>
      <c r="G11" s="10"/>
      <c r="H11" s="11"/>
      <c r="I11" s="12"/>
      <c r="J11" s="12"/>
      <c r="K11" s="12"/>
      <c r="L11" s="12"/>
    </row>
    <row r="12" spans="1:16" ht="15.75" x14ac:dyDescent="0.25">
      <c r="A12" s="12"/>
      <c r="B12" s="1"/>
      <c r="C12" s="9"/>
      <c r="D12" s="250" t="s">
        <v>16</v>
      </c>
      <c r="E12" s="250"/>
      <c r="F12" s="250"/>
      <c r="G12" s="250"/>
      <c r="H12" s="250"/>
      <c r="I12" s="12"/>
      <c r="J12" s="12"/>
    </row>
    <row r="13" spans="1:16" ht="15.75" x14ac:dyDescent="0.25">
      <c r="A13" s="12"/>
      <c r="B13" s="1"/>
      <c r="C13" s="9"/>
      <c r="D13" s="181" t="s">
        <v>17</v>
      </c>
      <c r="E13" s="10" t="s">
        <v>18</v>
      </c>
      <c r="F13" s="10" t="s">
        <v>19</v>
      </c>
      <c r="G13" s="10" t="s">
        <v>20</v>
      </c>
      <c r="H13" s="11" t="s">
        <v>21</v>
      </c>
      <c r="I13" s="12"/>
      <c r="J13" s="12"/>
    </row>
    <row r="14" spans="1:16" ht="15.75" x14ac:dyDescent="0.25">
      <c r="A14" s="182" t="s">
        <v>22</v>
      </c>
      <c r="B14" s="183"/>
      <c r="C14" s="184" t="s">
        <v>23</v>
      </c>
      <c r="D14" s="179" t="s">
        <v>24</v>
      </c>
      <c r="E14" s="179" t="s">
        <v>25</v>
      </c>
      <c r="F14" s="179" t="s">
        <v>26</v>
      </c>
      <c r="G14" s="179" t="s">
        <v>27</v>
      </c>
      <c r="H14" s="180" t="s">
        <v>28</v>
      </c>
      <c r="I14" s="182"/>
      <c r="J14" s="182" t="s">
        <v>29</v>
      </c>
    </row>
    <row r="15" spans="1:16" x14ac:dyDescent="0.2">
      <c r="A15" s="17"/>
      <c r="C15" s="18"/>
      <c r="D15" s="19"/>
      <c r="H15" s="20"/>
      <c r="I15" s="17"/>
      <c r="J15" s="21"/>
    </row>
    <row r="16" spans="1:16" ht="15.75" x14ac:dyDescent="0.25">
      <c r="A16" s="17">
        <v>1</v>
      </c>
      <c r="B16" s="1" t="s">
        <v>30</v>
      </c>
      <c r="C16" s="101"/>
      <c r="D16" s="19"/>
      <c r="J16" s="21"/>
    </row>
    <row r="17" spans="1:18" x14ac:dyDescent="0.2">
      <c r="A17" s="17">
        <f t="shared" ref="A17:A42" si="0">A16+1</f>
        <v>2</v>
      </c>
      <c r="B17" t="s">
        <v>31</v>
      </c>
      <c r="C17" s="101">
        <f>'WS 5 - Sched, Sys Control, Disp'!C23</f>
        <v>205388.69540032771</v>
      </c>
      <c r="J17" s="21" t="s">
        <v>32</v>
      </c>
      <c r="M17" s="18"/>
      <c r="N17" s="4"/>
      <c r="O17" s="4"/>
      <c r="P17" s="4"/>
      <c r="Q17" s="4"/>
      <c r="R17" s="5"/>
    </row>
    <row r="18" spans="1:18" x14ac:dyDescent="0.2">
      <c r="A18" s="17">
        <f t="shared" si="0"/>
        <v>3</v>
      </c>
      <c r="B18" t="s">
        <v>56</v>
      </c>
      <c r="C18" s="101"/>
      <c r="D18" s="22">
        <f>+C17/'WS 4  - Peak Loads'!H30</f>
        <v>819.09748913390911</v>
      </c>
      <c r="E18" s="19">
        <f>+D18/12</f>
        <v>68.25812409449243</v>
      </c>
      <c r="F18" s="19">
        <f>+D18/52</f>
        <v>15.751874791036714</v>
      </c>
      <c r="G18" s="19">
        <f>+D18/365</f>
        <v>2.2441027099559152</v>
      </c>
      <c r="H18" s="20">
        <f>+D18/8760</f>
        <v>9.3504279581496472E-2</v>
      </c>
      <c r="I18" s="23"/>
      <c r="J18" s="21" t="s">
        <v>33</v>
      </c>
      <c r="M18" s="18"/>
      <c r="N18" s="18"/>
      <c r="O18" s="18"/>
      <c r="P18" s="18"/>
      <c r="Q18" s="18"/>
      <c r="R18" s="18"/>
    </row>
    <row r="19" spans="1:18" x14ac:dyDescent="0.2">
      <c r="A19" s="17">
        <f t="shared" si="0"/>
        <v>4</v>
      </c>
      <c r="C19" s="101"/>
      <c r="D19" s="19"/>
      <c r="E19" s="19"/>
      <c r="F19" s="19"/>
      <c r="G19" s="19"/>
      <c r="H19" s="20"/>
      <c r="I19" s="23"/>
      <c r="J19" s="21"/>
      <c r="M19" s="18"/>
      <c r="N19" s="19"/>
      <c r="O19" s="19"/>
      <c r="P19" s="19"/>
      <c r="Q19" s="19"/>
      <c r="R19" s="20"/>
    </row>
    <row r="20" spans="1:18" ht="15.75" x14ac:dyDescent="0.25">
      <c r="A20" s="17">
        <f t="shared" si="0"/>
        <v>5</v>
      </c>
      <c r="B20" s="1" t="s">
        <v>57</v>
      </c>
      <c r="C20" s="101"/>
      <c r="D20" s="19"/>
      <c r="E20" s="19"/>
      <c r="F20" s="19"/>
      <c r="G20" s="19"/>
      <c r="H20" s="20"/>
      <c r="I20" s="23"/>
      <c r="J20" s="21"/>
      <c r="M20" s="18"/>
      <c r="N20" s="19"/>
      <c r="O20" s="19"/>
      <c r="P20" s="19"/>
      <c r="Q20" s="19"/>
      <c r="R20" s="20"/>
    </row>
    <row r="21" spans="1:18" x14ac:dyDescent="0.2">
      <c r="A21" s="17">
        <f t="shared" si="0"/>
        <v>6</v>
      </c>
      <c r="B21" t="s">
        <v>35</v>
      </c>
      <c r="C21" s="119">
        <v>29838953.21787858</v>
      </c>
      <c r="D21" s="19"/>
      <c r="E21" s="19"/>
      <c r="F21" s="19"/>
      <c r="G21" s="19"/>
      <c r="H21" s="20"/>
      <c r="I21" s="23"/>
      <c r="J21" s="21" t="s">
        <v>58</v>
      </c>
      <c r="M21" s="18"/>
      <c r="N21" s="4"/>
      <c r="O21" s="4"/>
      <c r="P21" s="4"/>
      <c r="Q21" s="4"/>
      <c r="R21" s="5"/>
    </row>
    <row r="22" spans="1:18" x14ac:dyDescent="0.2">
      <c r="A22" s="17">
        <f t="shared" si="0"/>
        <v>7</v>
      </c>
      <c r="B22" t="s">
        <v>37</v>
      </c>
      <c r="C22" s="108"/>
      <c r="D22" s="22">
        <f>+C21/'WS 4  - Peak Loads'!H30</f>
        <v>118998.81642224758</v>
      </c>
      <c r="E22" s="19">
        <f>+D22/12</f>
        <v>9916.5680351872979</v>
      </c>
      <c r="F22" s="19">
        <f>+D22/52</f>
        <v>2288.4387773509147</v>
      </c>
      <c r="G22" s="19">
        <f>+D22/365</f>
        <v>326.02415458150023</v>
      </c>
      <c r="H22" s="20">
        <f>+D22/8760</f>
        <v>13.584339774229175</v>
      </c>
      <c r="I22" s="23"/>
      <c r="J22" s="21" t="s">
        <v>38</v>
      </c>
      <c r="M22" s="18"/>
      <c r="N22" s="18"/>
      <c r="O22" s="18"/>
      <c r="P22" s="18"/>
      <c r="Q22" s="18"/>
      <c r="R22" s="18"/>
    </row>
    <row r="23" spans="1:18" x14ac:dyDescent="0.2">
      <c r="A23" s="17">
        <f t="shared" si="0"/>
        <v>8</v>
      </c>
      <c r="B23" s="25" t="s">
        <v>39</v>
      </c>
      <c r="C23" s="101"/>
      <c r="D23" s="19"/>
      <c r="E23" s="19"/>
      <c r="F23" s="19"/>
      <c r="G23" s="19"/>
      <c r="H23" s="20"/>
      <c r="I23" s="23"/>
      <c r="J23" s="21"/>
      <c r="M23" s="18"/>
      <c r="N23" s="19"/>
      <c r="O23" s="19"/>
      <c r="P23" s="19"/>
      <c r="Q23" s="19"/>
      <c r="R23" s="20"/>
    </row>
    <row r="24" spans="1:18" x14ac:dyDescent="0.2">
      <c r="A24" s="17">
        <f t="shared" si="0"/>
        <v>9</v>
      </c>
      <c r="B24" s="25" t="s">
        <v>40</v>
      </c>
      <c r="C24" s="101"/>
      <c r="D24" s="19"/>
      <c r="E24" s="19"/>
      <c r="F24" s="19"/>
      <c r="G24" s="19"/>
      <c r="H24" s="20"/>
      <c r="I24" s="23"/>
      <c r="J24" s="21"/>
      <c r="M24" s="18"/>
      <c r="N24" s="19"/>
      <c r="O24" s="19"/>
      <c r="P24" s="19"/>
      <c r="Q24" s="19"/>
      <c r="R24" s="20"/>
    </row>
    <row r="25" spans="1:18" x14ac:dyDescent="0.2">
      <c r="A25" s="17">
        <f t="shared" si="0"/>
        <v>10</v>
      </c>
      <c r="B25" s="25" t="s">
        <v>41</v>
      </c>
      <c r="C25" s="101"/>
      <c r="D25" s="19"/>
      <c r="E25" s="19"/>
      <c r="F25" s="19"/>
      <c r="G25" s="19"/>
      <c r="H25" s="20"/>
      <c r="I25" s="23"/>
      <c r="J25" s="21"/>
      <c r="M25" s="18"/>
      <c r="N25" s="19"/>
      <c r="O25" s="19"/>
      <c r="P25" s="19"/>
      <c r="Q25" s="19"/>
      <c r="R25" s="20"/>
    </row>
    <row r="26" spans="1:18" x14ac:dyDescent="0.2">
      <c r="A26" s="17">
        <f t="shared" si="0"/>
        <v>11</v>
      </c>
      <c r="B26" s="25" t="s">
        <v>42</v>
      </c>
      <c r="C26" s="101"/>
      <c r="D26" s="19"/>
      <c r="E26" s="19"/>
      <c r="F26" s="19"/>
      <c r="G26" s="19"/>
      <c r="H26" s="20"/>
      <c r="I26" s="26"/>
      <c r="J26" s="21"/>
      <c r="M26" s="18"/>
      <c r="N26" s="19"/>
      <c r="O26" s="19"/>
      <c r="P26" s="19"/>
      <c r="Q26" s="19"/>
      <c r="R26" s="20"/>
    </row>
    <row r="27" spans="1:18" x14ac:dyDescent="0.2">
      <c r="A27" s="17">
        <f t="shared" si="0"/>
        <v>12</v>
      </c>
      <c r="C27" s="100"/>
      <c r="D27" s="19"/>
      <c r="E27" s="19"/>
      <c r="F27" s="19"/>
      <c r="G27" s="19"/>
      <c r="H27" s="20"/>
      <c r="I27" s="23"/>
      <c r="J27" s="21"/>
      <c r="M27" s="3"/>
      <c r="N27" s="19"/>
      <c r="O27" s="19"/>
      <c r="P27" s="19"/>
      <c r="Q27" s="19"/>
      <c r="R27" s="20"/>
    </row>
    <row r="28" spans="1:18" ht="15.75" x14ac:dyDescent="0.25">
      <c r="A28" s="17">
        <f t="shared" si="0"/>
        <v>13</v>
      </c>
      <c r="B28" s="1" t="s">
        <v>59</v>
      </c>
      <c r="C28" s="101"/>
      <c r="D28" s="19"/>
      <c r="E28" s="30"/>
      <c r="F28" s="19"/>
      <c r="G28" s="19"/>
      <c r="H28" s="20"/>
      <c r="I28" s="23"/>
      <c r="J28" s="21"/>
      <c r="M28" s="18"/>
      <c r="N28" s="19"/>
      <c r="O28" s="19"/>
      <c r="P28" s="19"/>
      <c r="Q28" s="19"/>
      <c r="R28" s="20"/>
    </row>
    <row r="29" spans="1:18" x14ac:dyDescent="0.2">
      <c r="A29" s="17">
        <f t="shared" si="0"/>
        <v>14</v>
      </c>
      <c r="B29" t="s">
        <v>44</v>
      </c>
      <c r="C29" s="108">
        <v>0</v>
      </c>
      <c r="D29" s="19"/>
      <c r="E29" s="19"/>
      <c r="F29" s="19"/>
      <c r="G29" s="19"/>
      <c r="H29" s="20"/>
      <c r="I29" s="23"/>
      <c r="J29" s="27" t="s">
        <v>45</v>
      </c>
      <c r="M29" s="18"/>
      <c r="N29" s="4"/>
      <c r="O29" s="4"/>
      <c r="P29" s="4"/>
      <c r="Q29" s="4"/>
      <c r="R29" s="5"/>
    </row>
    <row r="30" spans="1:18" x14ac:dyDescent="0.2">
      <c r="A30" s="17">
        <f t="shared" si="0"/>
        <v>15</v>
      </c>
      <c r="B30" t="s">
        <v>37</v>
      </c>
      <c r="C30" s="108"/>
      <c r="D30" s="22">
        <f>+C29/'WS 4  - Peak Loads'!F30</f>
        <v>0</v>
      </c>
      <c r="E30" s="19">
        <f>+D30/12</f>
        <v>0</v>
      </c>
      <c r="F30" s="19">
        <f>+D30/52</f>
        <v>0</v>
      </c>
      <c r="G30" s="19">
        <f>+D30/365</f>
        <v>0</v>
      </c>
      <c r="H30" s="20">
        <f>+D30/8760</f>
        <v>0</v>
      </c>
      <c r="I30" s="23"/>
      <c r="J30" s="21" t="s">
        <v>60</v>
      </c>
      <c r="M30" s="18"/>
      <c r="N30" s="18"/>
      <c r="O30" s="18"/>
      <c r="P30" s="18"/>
      <c r="Q30" s="18"/>
      <c r="R30" s="18"/>
    </row>
    <row r="31" spans="1:18" x14ac:dyDescent="0.2">
      <c r="A31" s="17">
        <f t="shared" si="0"/>
        <v>16</v>
      </c>
      <c r="B31" s="25" t="s">
        <v>39</v>
      </c>
      <c r="C31" s="101"/>
      <c r="D31" s="19"/>
      <c r="E31" s="19"/>
      <c r="F31" s="19"/>
      <c r="G31" s="19"/>
      <c r="H31" s="20"/>
      <c r="I31" s="23"/>
      <c r="J31" s="21"/>
      <c r="M31" s="18"/>
      <c r="N31" s="19"/>
      <c r="O31" s="19"/>
      <c r="P31" s="19"/>
      <c r="Q31" s="19"/>
      <c r="R31" s="20"/>
    </row>
    <row r="32" spans="1:18" x14ac:dyDescent="0.2">
      <c r="A32" s="17">
        <f t="shared" si="0"/>
        <v>17</v>
      </c>
      <c r="B32" s="25" t="s">
        <v>40</v>
      </c>
      <c r="C32" s="101"/>
      <c r="D32" s="19"/>
      <c r="E32" s="19"/>
      <c r="F32" s="19"/>
      <c r="G32" s="19"/>
      <c r="H32" s="20"/>
      <c r="I32" s="23"/>
      <c r="J32" s="21"/>
      <c r="M32" s="18"/>
      <c r="N32" s="19"/>
      <c r="O32" s="19"/>
      <c r="P32" s="19"/>
      <c r="Q32" s="19"/>
      <c r="R32" s="20"/>
    </row>
    <row r="33" spans="1:18" x14ac:dyDescent="0.2">
      <c r="A33" s="17">
        <f t="shared" si="0"/>
        <v>18</v>
      </c>
      <c r="B33" s="25" t="s">
        <v>41</v>
      </c>
      <c r="C33" s="101"/>
      <c r="D33" s="19"/>
      <c r="E33" s="19"/>
      <c r="F33" s="19"/>
      <c r="G33" s="19"/>
      <c r="H33" s="20"/>
      <c r="I33" s="23"/>
      <c r="J33" s="21"/>
      <c r="M33" s="18"/>
      <c r="N33" s="19"/>
      <c r="O33" s="19"/>
      <c r="P33" s="19"/>
      <c r="Q33" s="19"/>
      <c r="R33" s="20"/>
    </row>
    <row r="34" spans="1:18" x14ac:dyDescent="0.2">
      <c r="A34" s="17">
        <f t="shared" si="0"/>
        <v>19</v>
      </c>
      <c r="B34" s="25" t="s">
        <v>42</v>
      </c>
      <c r="C34" s="101"/>
      <c r="E34" s="19"/>
      <c r="F34" s="19"/>
      <c r="G34" s="19"/>
      <c r="H34" s="20"/>
      <c r="I34" s="26"/>
      <c r="J34" s="21"/>
      <c r="M34" s="18"/>
      <c r="N34" s="4"/>
      <c r="O34" s="19"/>
      <c r="P34" s="19"/>
      <c r="Q34" s="19"/>
      <c r="R34" s="20"/>
    </row>
    <row r="35" spans="1:18" x14ac:dyDescent="0.2">
      <c r="A35" s="17">
        <f t="shared" si="0"/>
        <v>20</v>
      </c>
      <c r="B35" s="25"/>
      <c r="C35" s="101"/>
      <c r="E35" s="19"/>
      <c r="F35" s="19"/>
      <c r="G35" s="19"/>
      <c r="H35" s="20"/>
      <c r="I35" s="26"/>
      <c r="J35" s="21"/>
      <c r="M35" s="18"/>
      <c r="N35" s="4"/>
      <c r="O35" s="19"/>
      <c r="P35" s="19"/>
      <c r="Q35" s="19"/>
      <c r="R35" s="20"/>
    </row>
    <row r="36" spans="1:18" ht="15.75" x14ac:dyDescent="0.25">
      <c r="A36" s="17">
        <f t="shared" si="0"/>
        <v>21</v>
      </c>
      <c r="B36" s="1" t="s">
        <v>61</v>
      </c>
      <c r="C36" s="100"/>
      <c r="D36" s="19"/>
      <c r="J36" s="21"/>
      <c r="M36" s="3"/>
      <c r="N36" s="19"/>
      <c r="O36" s="4"/>
      <c r="P36" s="4"/>
      <c r="Q36" s="4"/>
      <c r="R36" s="5"/>
    </row>
    <row r="37" spans="1:18" x14ac:dyDescent="0.2">
      <c r="A37" s="17">
        <f t="shared" si="0"/>
        <v>22</v>
      </c>
      <c r="B37" s="21" t="s">
        <v>48</v>
      </c>
      <c r="C37" s="108">
        <f>'WS 7 - RNS Charges'!P17</f>
        <v>49706959.950406045</v>
      </c>
      <c r="D37" s="19"/>
      <c r="J37" s="27" t="s">
        <v>49</v>
      </c>
      <c r="M37" s="18"/>
      <c r="N37" s="4"/>
      <c r="O37" s="4"/>
      <c r="P37" s="4"/>
      <c r="Q37" s="4"/>
      <c r="R37" s="5"/>
    </row>
    <row r="38" spans="1:18" ht="15.75" x14ac:dyDescent="0.25">
      <c r="A38" s="17">
        <f t="shared" si="0"/>
        <v>23</v>
      </c>
      <c r="B38" t="s">
        <v>37</v>
      </c>
      <c r="C38" s="109"/>
      <c r="D38" s="22">
        <f>+C37/'WS 4  - Peak Loads'!G30</f>
        <v>204766.05540846981</v>
      </c>
      <c r="E38" s="19">
        <f>+D38/12</f>
        <v>17063.837950705816</v>
      </c>
      <c r="F38" s="19">
        <f>+D38/52</f>
        <v>3937.8087578551886</v>
      </c>
      <c r="G38" s="19">
        <f>+D38/365</f>
        <v>561.00289153005428</v>
      </c>
      <c r="H38" s="20">
        <f>+D38/8760</f>
        <v>23.375120480418929</v>
      </c>
      <c r="I38" s="23"/>
      <c r="J38" s="21" t="s">
        <v>50</v>
      </c>
      <c r="M38" s="18"/>
      <c r="N38" s="18"/>
      <c r="O38" s="18"/>
      <c r="P38" s="18"/>
      <c r="Q38" s="18"/>
      <c r="R38" s="18"/>
    </row>
    <row r="39" spans="1:18" ht="15.75" x14ac:dyDescent="0.25">
      <c r="A39" s="17">
        <f t="shared" si="0"/>
        <v>24</v>
      </c>
      <c r="B39" s="25" t="s">
        <v>39</v>
      </c>
      <c r="C39" s="109"/>
      <c r="D39" s="19"/>
      <c r="E39" s="19"/>
      <c r="F39" s="19"/>
      <c r="G39" s="19"/>
      <c r="H39" s="20"/>
      <c r="I39" s="23"/>
      <c r="J39" s="21"/>
    </row>
    <row r="40" spans="1:18" x14ac:dyDescent="0.2">
      <c r="A40" s="17">
        <f t="shared" si="0"/>
        <v>25</v>
      </c>
      <c r="B40" s="25" t="s">
        <v>40</v>
      </c>
      <c r="C40" s="101"/>
      <c r="D40" s="19"/>
      <c r="E40" s="19"/>
      <c r="F40" s="19"/>
      <c r="G40" s="19"/>
      <c r="H40" s="20"/>
      <c r="I40" s="23"/>
      <c r="J40" s="21"/>
    </row>
    <row r="41" spans="1:18" x14ac:dyDescent="0.2">
      <c r="A41" s="17">
        <f t="shared" si="0"/>
        <v>26</v>
      </c>
      <c r="B41" s="25" t="s">
        <v>41</v>
      </c>
      <c r="C41" s="101"/>
      <c r="D41" s="19"/>
      <c r="E41" s="19"/>
      <c r="F41" s="19"/>
      <c r="G41" s="19"/>
      <c r="H41" s="20"/>
      <c r="I41" s="23"/>
      <c r="J41" s="21"/>
    </row>
    <row r="42" spans="1:18" x14ac:dyDescent="0.2">
      <c r="A42" s="17">
        <f t="shared" si="0"/>
        <v>27</v>
      </c>
      <c r="B42" s="25" t="s">
        <v>42</v>
      </c>
      <c r="C42" s="101"/>
      <c r="D42" s="19"/>
      <c r="I42" s="29"/>
      <c r="J42" s="21"/>
      <c r="L42" s="65"/>
      <c r="M42" s="65"/>
    </row>
    <row r="43" spans="1:18" ht="15.75" x14ac:dyDescent="0.25">
      <c r="A43" s="17"/>
      <c r="B43" s="1"/>
      <c r="C43" s="101"/>
      <c r="D43" s="19"/>
      <c r="E43" s="19"/>
      <c r="F43" s="30"/>
      <c r="I43" s="29"/>
      <c r="J43" s="21"/>
      <c r="M43" s="98"/>
    </row>
    <row r="44" spans="1:18" x14ac:dyDescent="0.2">
      <c r="C44" s="100"/>
    </row>
    <row r="45" spans="1:18" x14ac:dyDescent="0.2">
      <c r="C45" s="100"/>
    </row>
    <row r="46" spans="1:18" x14ac:dyDescent="0.2">
      <c r="C46" s="100"/>
    </row>
    <row r="47" spans="1:18" x14ac:dyDescent="0.2">
      <c r="C47" s="100"/>
    </row>
    <row r="48" spans="1:18" x14ac:dyDescent="0.2">
      <c r="C48" s="100"/>
    </row>
  </sheetData>
  <mergeCells count="1">
    <mergeCell ref="D12:H12"/>
  </mergeCells>
  <pageMargins left="0.5" right="0.5" top="0.5" bottom="0.5" header="0.5" footer="0.5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1D8E-E96F-4373-A212-BCE88F1BA0B8}">
  <sheetPr>
    <pageSetUpPr fitToPage="1"/>
  </sheetPr>
  <dimension ref="A1:R38"/>
  <sheetViews>
    <sheetView view="pageBreakPreview" zoomScale="80" zoomScaleNormal="100" zoomScaleSheetLayoutView="80" workbookViewId="0">
      <selection activeCell="H20" sqref="H20"/>
    </sheetView>
  </sheetViews>
  <sheetFormatPr defaultColWidth="9.77734375" defaultRowHeight="15" x14ac:dyDescent="0.2"/>
  <cols>
    <col min="1" max="1" width="4.6640625" customWidth="1"/>
    <col min="2" max="2" width="13.88671875" customWidth="1"/>
    <col min="3" max="4" width="13.5546875" style="17" customWidth="1"/>
    <col min="5" max="5" width="16" style="17" customWidth="1"/>
    <col min="6" max="6" width="16.5546875" style="67" customWidth="1"/>
    <col min="7" max="7" width="21" style="17" customWidth="1"/>
    <col min="8" max="8" width="15.44140625" style="17" customWidth="1"/>
    <col min="9" max="9" width="3" style="17" customWidth="1"/>
    <col min="10" max="10" width="27.6640625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62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63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B7" s="1"/>
      <c r="C7" s="1"/>
      <c r="D7" s="1"/>
      <c r="E7" s="1"/>
      <c r="F7" s="1"/>
      <c r="G7" s="1"/>
      <c r="H7" s="1"/>
      <c r="I7" s="55"/>
      <c r="J7" s="55"/>
    </row>
    <row r="8" spans="1:16" ht="15.75" x14ac:dyDescent="0.25">
      <c r="A8" s="56"/>
      <c r="B8" s="54"/>
      <c r="J8" s="17"/>
    </row>
    <row r="9" spans="1:16" ht="15.75" x14ac:dyDescent="0.25">
      <c r="A9" s="1"/>
      <c r="B9" s="1"/>
      <c r="C9" s="12" t="s">
        <v>6</v>
      </c>
      <c r="D9" s="12" t="s">
        <v>7</v>
      </c>
      <c r="E9" s="12" t="s">
        <v>8</v>
      </c>
      <c r="F9" s="69" t="s">
        <v>64</v>
      </c>
      <c r="G9" s="12" t="s">
        <v>65</v>
      </c>
      <c r="H9" s="12" t="s">
        <v>66</v>
      </c>
      <c r="I9" s="12"/>
      <c r="J9" s="1"/>
    </row>
    <row r="10" spans="1:16" ht="15.75" x14ac:dyDescent="0.25">
      <c r="A10" s="1"/>
      <c r="B10" s="56"/>
      <c r="C10" s="12"/>
      <c r="D10" s="12"/>
      <c r="E10" s="12"/>
      <c r="F10" s="69"/>
      <c r="G10" s="12"/>
      <c r="H10" s="12"/>
      <c r="I10" s="12"/>
      <c r="J10" s="12"/>
    </row>
    <row r="11" spans="1:16" ht="15.75" x14ac:dyDescent="0.25">
      <c r="A11" s="1"/>
      <c r="B11" s="56"/>
      <c r="C11" s="12" t="s">
        <v>67</v>
      </c>
      <c r="D11" s="12" t="s">
        <v>68</v>
      </c>
      <c r="E11" s="12" t="s">
        <v>69</v>
      </c>
      <c r="F11"/>
      <c r="G11"/>
      <c r="H11"/>
      <c r="I11"/>
      <c r="J11" s="12"/>
    </row>
    <row r="12" spans="1:16" ht="15.75" x14ac:dyDescent="0.25">
      <c r="A12" s="1"/>
      <c r="B12" s="1"/>
      <c r="C12" s="12" t="s">
        <v>70</v>
      </c>
      <c r="D12" s="12" t="s">
        <v>71</v>
      </c>
      <c r="E12" s="12" t="s">
        <v>72</v>
      </c>
      <c r="F12" s="69" t="s">
        <v>73</v>
      </c>
      <c r="G12" s="12" t="s">
        <v>74</v>
      </c>
      <c r="H12" s="12" t="s">
        <v>75</v>
      </c>
      <c r="I12" s="12"/>
      <c r="J12" s="1"/>
    </row>
    <row r="13" spans="1:16" ht="15.75" x14ac:dyDescent="0.25">
      <c r="A13" s="12"/>
      <c r="B13" s="12"/>
      <c r="C13" s="12" t="s">
        <v>76</v>
      </c>
      <c r="D13" s="12" t="s">
        <v>77</v>
      </c>
      <c r="E13" s="12" t="s">
        <v>76</v>
      </c>
      <c r="F13" s="69" t="s">
        <v>78</v>
      </c>
      <c r="G13" s="12" t="s">
        <v>79</v>
      </c>
      <c r="H13" s="12" t="s">
        <v>72</v>
      </c>
      <c r="I13" s="12"/>
      <c r="J13" s="12"/>
    </row>
    <row r="14" spans="1:16" ht="15.75" x14ac:dyDescent="0.25">
      <c r="A14" s="12"/>
      <c r="B14" s="12"/>
      <c r="C14" s="12"/>
      <c r="D14" s="12" t="s">
        <v>80</v>
      </c>
      <c r="E14" s="12" t="s">
        <v>81</v>
      </c>
      <c r="F14" s="69" t="s">
        <v>82</v>
      </c>
      <c r="G14" s="12" t="s">
        <v>83</v>
      </c>
      <c r="H14" s="12" t="s">
        <v>76</v>
      </c>
      <c r="I14" s="12"/>
      <c r="J14" s="12"/>
    </row>
    <row r="15" spans="1:16" ht="15.75" x14ac:dyDescent="0.25">
      <c r="A15" s="182" t="s">
        <v>22</v>
      </c>
      <c r="B15" s="182" t="s">
        <v>84</v>
      </c>
      <c r="C15" s="182" t="s">
        <v>85</v>
      </c>
      <c r="D15" s="182" t="s">
        <v>85</v>
      </c>
      <c r="E15" s="182" t="s">
        <v>85</v>
      </c>
      <c r="F15" s="182" t="s">
        <v>85</v>
      </c>
      <c r="G15" s="182" t="s">
        <v>85</v>
      </c>
      <c r="H15" s="182" t="s">
        <v>85</v>
      </c>
      <c r="I15" s="182"/>
      <c r="J15" s="182" t="s">
        <v>29</v>
      </c>
    </row>
    <row r="16" spans="1:16" x14ac:dyDescent="0.2">
      <c r="A16" s="17"/>
      <c r="L16" s="45"/>
      <c r="M16" s="70"/>
    </row>
    <row r="17" spans="1:18" x14ac:dyDescent="0.2">
      <c r="A17" s="17">
        <v>1</v>
      </c>
      <c r="B17" t="s">
        <v>86</v>
      </c>
      <c r="C17" s="67">
        <v>246</v>
      </c>
      <c r="D17" s="67">
        <v>8</v>
      </c>
      <c r="E17" s="67">
        <v>0</v>
      </c>
      <c r="F17" s="71">
        <f>+C17+D17</f>
        <v>254</v>
      </c>
      <c r="G17" s="71">
        <f>+C17</f>
        <v>246</v>
      </c>
      <c r="H17" s="71">
        <f>+E17+F17</f>
        <v>254</v>
      </c>
      <c r="I17" s="72"/>
      <c r="J17" s="68" t="s">
        <v>87</v>
      </c>
      <c r="L17" s="45"/>
      <c r="M17" s="73"/>
      <c r="R17" s="74"/>
    </row>
    <row r="18" spans="1:18" x14ac:dyDescent="0.2">
      <c r="A18" s="17">
        <v>2</v>
      </c>
      <c r="B18" t="s">
        <v>88</v>
      </c>
      <c r="C18" s="67">
        <v>289</v>
      </c>
      <c r="D18" s="67">
        <v>8</v>
      </c>
      <c r="E18" s="67">
        <v>0</v>
      </c>
      <c r="F18" s="71">
        <f t="shared" ref="F18:F28" si="0">+C18+D18</f>
        <v>297</v>
      </c>
      <c r="G18" s="71">
        <f t="shared" ref="G18:G28" si="1">+C18</f>
        <v>289</v>
      </c>
      <c r="H18" s="71">
        <f t="shared" ref="H18:H28" si="2">+E18+F18</f>
        <v>297</v>
      </c>
      <c r="I18" s="72"/>
      <c r="J18" s="68" t="s">
        <v>87</v>
      </c>
      <c r="L18" s="45"/>
      <c r="M18" s="73"/>
      <c r="R18" s="74"/>
    </row>
    <row r="19" spans="1:18" x14ac:dyDescent="0.2">
      <c r="A19" s="17">
        <v>3</v>
      </c>
      <c r="B19" t="s">
        <v>89</v>
      </c>
      <c r="C19" s="67">
        <v>226</v>
      </c>
      <c r="D19" s="67">
        <v>8</v>
      </c>
      <c r="E19" s="67">
        <v>0</v>
      </c>
      <c r="F19" s="71">
        <f t="shared" si="0"/>
        <v>234</v>
      </c>
      <c r="G19" s="71">
        <f t="shared" si="1"/>
        <v>226</v>
      </c>
      <c r="H19" s="71">
        <f t="shared" si="2"/>
        <v>234</v>
      </c>
      <c r="I19" s="72"/>
      <c r="J19" s="68" t="s">
        <v>87</v>
      </c>
      <c r="L19" s="45"/>
      <c r="M19" s="73"/>
      <c r="R19" s="74"/>
    </row>
    <row r="20" spans="1:18" x14ac:dyDescent="0.2">
      <c r="A20" s="17">
        <v>4</v>
      </c>
      <c r="B20" t="s">
        <v>90</v>
      </c>
      <c r="C20" s="67">
        <v>263</v>
      </c>
      <c r="D20" s="67">
        <v>8</v>
      </c>
      <c r="E20" s="67">
        <v>0</v>
      </c>
      <c r="F20" s="71">
        <f t="shared" si="0"/>
        <v>271</v>
      </c>
      <c r="G20" s="71">
        <f t="shared" si="1"/>
        <v>263</v>
      </c>
      <c r="H20" s="71">
        <f t="shared" si="2"/>
        <v>271</v>
      </c>
      <c r="I20" s="72"/>
      <c r="J20" s="68" t="s">
        <v>87</v>
      </c>
      <c r="L20" s="45"/>
      <c r="M20" s="73"/>
      <c r="R20" s="74"/>
    </row>
    <row r="21" spans="1:18" x14ac:dyDescent="0.2">
      <c r="A21" s="17">
        <v>5</v>
      </c>
      <c r="B21" t="s">
        <v>91</v>
      </c>
      <c r="C21" s="67">
        <v>193</v>
      </c>
      <c r="D21" s="67">
        <v>8</v>
      </c>
      <c r="E21" s="67">
        <v>0</v>
      </c>
      <c r="F21" s="71">
        <f t="shared" si="0"/>
        <v>201</v>
      </c>
      <c r="G21" s="71">
        <f t="shared" si="1"/>
        <v>193</v>
      </c>
      <c r="H21" s="71">
        <f t="shared" si="2"/>
        <v>201</v>
      </c>
      <c r="I21" s="72"/>
      <c r="J21" s="68" t="s">
        <v>87</v>
      </c>
      <c r="L21" s="45"/>
      <c r="M21" s="73"/>
      <c r="R21" s="74"/>
    </row>
    <row r="22" spans="1:18" x14ac:dyDescent="0.2">
      <c r="A22" s="17">
        <v>6</v>
      </c>
      <c r="B22" t="s">
        <v>92</v>
      </c>
      <c r="C22" s="67">
        <v>221</v>
      </c>
      <c r="D22" s="67">
        <v>8</v>
      </c>
      <c r="E22" s="67">
        <v>0</v>
      </c>
      <c r="F22" s="71">
        <f t="shared" si="0"/>
        <v>229</v>
      </c>
      <c r="G22" s="71">
        <f t="shared" si="1"/>
        <v>221</v>
      </c>
      <c r="H22" s="71">
        <f t="shared" si="2"/>
        <v>229</v>
      </c>
      <c r="I22" s="72"/>
      <c r="J22" s="68" t="s">
        <v>87</v>
      </c>
      <c r="L22" s="45"/>
      <c r="M22" s="73"/>
      <c r="R22" s="74"/>
    </row>
    <row r="23" spans="1:18" x14ac:dyDescent="0.2">
      <c r="A23" s="17">
        <v>7</v>
      </c>
      <c r="B23" t="s">
        <v>93</v>
      </c>
      <c r="C23" s="67">
        <v>263</v>
      </c>
      <c r="D23" s="67">
        <v>8</v>
      </c>
      <c r="E23" s="67">
        <v>0</v>
      </c>
      <c r="F23" s="71">
        <f t="shared" si="0"/>
        <v>271</v>
      </c>
      <c r="G23" s="71">
        <f t="shared" si="1"/>
        <v>263</v>
      </c>
      <c r="H23" s="71">
        <f t="shared" si="2"/>
        <v>271</v>
      </c>
      <c r="I23" s="72"/>
      <c r="J23" s="68" t="s">
        <v>87</v>
      </c>
      <c r="L23" s="45"/>
      <c r="M23" s="73"/>
      <c r="R23" s="74"/>
    </row>
    <row r="24" spans="1:18" x14ac:dyDescent="0.2">
      <c r="A24" s="17">
        <v>8</v>
      </c>
      <c r="B24" t="s">
        <v>94</v>
      </c>
      <c r="C24" s="67">
        <v>241</v>
      </c>
      <c r="D24" s="67">
        <v>8</v>
      </c>
      <c r="E24" s="67">
        <v>0</v>
      </c>
      <c r="F24" s="71">
        <f t="shared" si="0"/>
        <v>249</v>
      </c>
      <c r="G24" s="71">
        <f t="shared" si="1"/>
        <v>241</v>
      </c>
      <c r="H24" s="71">
        <f t="shared" si="2"/>
        <v>249</v>
      </c>
      <c r="I24" s="72"/>
      <c r="J24" s="68" t="s">
        <v>87</v>
      </c>
      <c r="L24" s="45"/>
      <c r="M24" s="73"/>
      <c r="R24" s="74"/>
    </row>
    <row r="25" spans="1:18" x14ac:dyDescent="0.2">
      <c r="A25" s="17">
        <v>9</v>
      </c>
      <c r="B25" t="s">
        <v>95</v>
      </c>
      <c r="C25" s="67">
        <v>265</v>
      </c>
      <c r="D25" s="67">
        <v>8</v>
      </c>
      <c r="E25" s="67">
        <v>0</v>
      </c>
      <c r="F25" s="71">
        <f t="shared" si="0"/>
        <v>273</v>
      </c>
      <c r="G25" s="71">
        <f t="shared" si="1"/>
        <v>265</v>
      </c>
      <c r="H25" s="71">
        <f t="shared" si="2"/>
        <v>273</v>
      </c>
      <c r="I25" s="72"/>
      <c r="J25" s="68" t="s">
        <v>87</v>
      </c>
      <c r="L25" s="45"/>
      <c r="M25" s="73"/>
      <c r="R25" s="74"/>
    </row>
    <row r="26" spans="1:18" x14ac:dyDescent="0.2">
      <c r="A26" s="17">
        <v>10</v>
      </c>
      <c r="B26" t="s">
        <v>96</v>
      </c>
      <c r="C26" s="67">
        <v>220</v>
      </c>
      <c r="D26" s="67">
        <v>8</v>
      </c>
      <c r="E26" s="67">
        <v>0</v>
      </c>
      <c r="F26" s="71">
        <f t="shared" si="0"/>
        <v>228</v>
      </c>
      <c r="G26" s="71">
        <f t="shared" si="1"/>
        <v>220</v>
      </c>
      <c r="H26" s="71">
        <f t="shared" si="2"/>
        <v>228</v>
      </c>
      <c r="I26" s="72"/>
      <c r="J26" s="68" t="s">
        <v>87</v>
      </c>
      <c r="L26" s="45"/>
      <c r="M26" s="73"/>
      <c r="R26" s="74"/>
    </row>
    <row r="27" spans="1:18" x14ac:dyDescent="0.2">
      <c r="A27" s="17">
        <v>11</v>
      </c>
      <c r="B27" t="s">
        <v>97</v>
      </c>
      <c r="C27" s="67">
        <v>235</v>
      </c>
      <c r="D27" s="67">
        <v>8</v>
      </c>
      <c r="E27" s="67">
        <v>0</v>
      </c>
      <c r="F27" s="71">
        <f t="shared" si="0"/>
        <v>243</v>
      </c>
      <c r="G27" s="71">
        <f t="shared" si="1"/>
        <v>235</v>
      </c>
      <c r="H27" s="71">
        <f t="shared" si="2"/>
        <v>243</v>
      </c>
      <c r="I27" s="72"/>
      <c r="J27" s="68" t="s">
        <v>87</v>
      </c>
      <c r="L27" s="45"/>
      <c r="M27" s="73"/>
      <c r="R27" s="74"/>
    </row>
    <row r="28" spans="1:18" x14ac:dyDescent="0.2">
      <c r="A28" s="17">
        <v>12</v>
      </c>
      <c r="B28" t="s">
        <v>98</v>
      </c>
      <c r="C28" s="67">
        <v>251</v>
      </c>
      <c r="D28" s="67">
        <v>8</v>
      </c>
      <c r="E28" s="67">
        <v>0</v>
      </c>
      <c r="F28" s="71">
        <f t="shared" si="0"/>
        <v>259</v>
      </c>
      <c r="G28" s="71">
        <f t="shared" si="1"/>
        <v>251</v>
      </c>
      <c r="H28" s="71">
        <f t="shared" si="2"/>
        <v>259</v>
      </c>
      <c r="I28" s="72"/>
      <c r="J28" s="68" t="s">
        <v>87</v>
      </c>
      <c r="L28" s="45"/>
      <c r="M28" s="73"/>
      <c r="R28" s="74"/>
    </row>
    <row r="29" spans="1:18" x14ac:dyDescent="0.2">
      <c r="A29" s="17"/>
      <c r="C29" s="67"/>
      <c r="D29" s="67"/>
      <c r="E29" s="67"/>
      <c r="G29" s="67"/>
      <c r="H29" s="67"/>
      <c r="I29" s="72"/>
    </row>
    <row r="30" spans="1:18" x14ac:dyDescent="0.2">
      <c r="A30" s="185">
        <v>13</v>
      </c>
      <c r="B30" s="186" t="s">
        <v>99</v>
      </c>
      <c r="C30" s="187">
        <f>AVERAGE(C17:C28)</f>
        <v>242.75</v>
      </c>
      <c r="D30" s="187">
        <f t="shared" ref="D30:H30" si="3">AVERAGE(D17:D28)</f>
        <v>8</v>
      </c>
      <c r="E30" s="187">
        <f t="shared" si="3"/>
        <v>0</v>
      </c>
      <c r="F30" s="187">
        <f t="shared" si="3"/>
        <v>250.75</v>
      </c>
      <c r="G30" s="187">
        <f t="shared" si="3"/>
        <v>242.75</v>
      </c>
      <c r="H30" s="187">
        <f t="shared" si="3"/>
        <v>250.75</v>
      </c>
      <c r="I30" s="72"/>
      <c r="J30" t="s">
        <v>100</v>
      </c>
    </row>
    <row r="31" spans="1:18" x14ac:dyDescent="0.2">
      <c r="A31" s="17"/>
      <c r="B31" s="17"/>
      <c r="C31" s="2"/>
      <c r="D31" s="2"/>
      <c r="E31" s="2"/>
      <c r="F31" s="72"/>
      <c r="G31" s="2"/>
      <c r="H31" s="75"/>
      <c r="I31" s="75"/>
      <c r="J31" s="17"/>
    </row>
    <row r="32" spans="1:18" x14ac:dyDescent="0.2">
      <c r="H32" s="76"/>
      <c r="I32" s="76"/>
    </row>
    <row r="33" spans="1:10" x14ac:dyDescent="0.2">
      <c r="A33" s="188" t="s">
        <v>101</v>
      </c>
      <c r="B33" s="189"/>
      <c r="C33" s="190"/>
      <c r="D33" s="190"/>
      <c r="E33" s="190"/>
      <c r="F33" s="191"/>
      <c r="G33" s="190"/>
      <c r="H33" s="190"/>
      <c r="I33" s="190"/>
      <c r="J33" s="189"/>
    </row>
    <row r="34" spans="1:10" x14ac:dyDescent="0.2">
      <c r="A34" s="17">
        <v>1</v>
      </c>
      <c r="B34" t="s">
        <v>102</v>
      </c>
    </row>
    <row r="35" spans="1:10" x14ac:dyDescent="0.2">
      <c r="A35" s="17">
        <v>2</v>
      </c>
      <c r="B35" t="s">
        <v>103</v>
      </c>
    </row>
    <row r="38" spans="1:10" x14ac:dyDescent="0.2">
      <c r="C38" s="76"/>
    </row>
  </sheetData>
  <pageMargins left="0.5" right="0.5" top="0.5" bottom="0.5" header="0.5" footer="0.5"/>
  <pageSetup paperSize="5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AAAA-D860-4B22-9E23-C9076497BF88}">
  <sheetPr transitionEvaluation="1">
    <pageSetUpPr fitToPage="1"/>
  </sheetPr>
  <dimension ref="A1:P26"/>
  <sheetViews>
    <sheetView tabSelected="1" view="pageBreakPreview" zoomScale="85" zoomScaleNormal="75" zoomScaleSheetLayoutView="85" workbookViewId="0">
      <selection activeCell="C17" sqref="C17"/>
    </sheetView>
  </sheetViews>
  <sheetFormatPr defaultColWidth="9.77734375" defaultRowHeight="15" x14ac:dyDescent="0.2"/>
  <cols>
    <col min="1" max="1" width="4.6640625" customWidth="1"/>
    <col min="2" max="2" width="62.6640625" customWidth="1"/>
    <col min="3" max="3" width="15.6640625" customWidth="1"/>
    <col min="4" max="4" width="3.44140625" customWidth="1"/>
    <col min="5" max="5" width="32.109375" customWidth="1"/>
    <col min="6" max="7" width="12.6640625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30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104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x14ac:dyDescent="0.2">
      <c r="A7" s="97"/>
      <c r="B7" s="21"/>
      <c r="C7" s="54"/>
      <c r="D7" s="54"/>
      <c r="E7" s="17"/>
    </row>
    <row r="8" spans="1:16" ht="15.75" x14ac:dyDescent="0.25">
      <c r="A8" s="56"/>
      <c r="B8" s="54"/>
      <c r="C8" s="57"/>
      <c r="D8" s="57"/>
      <c r="E8" s="17"/>
    </row>
    <row r="9" spans="1:16" ht="15.75" x14ac:dyDescent="0.25">
      <c r="A9" s="12"/>
      <c r="B9" s="12"/>
      <c r="C9" s="12" t="s">
        <v>6</v>
      </c>
      <c r="D9" s="12"/>
      <c r="E9" s="17"/>
    </row>
    <row r="10" spans="1:16" ht="15.75" x14ac:dyDescent="0.25">
      <c r="A10" s="12"/>
      <c r="B10" s="12"/>
      <c r="C10" s="12"/>
      <c r="D10" s="12"/>
      <c r="E10" s="17"/>
    </row>
    <row r="11" spans="1:16" ht="15.75" x14ac:dyDescent="0.25">
      <c r="A11" s="182" t="s">
        <v>22</v>
      </c>
      <c r="B11" s="192"/>
      <c r="C11" s="182" t="s">
        <v>23</v>
      </c>
      <c r="D11" s="182"/>
      <c r="E11" s="182" t="s">
        <v>29</v>
      </c>
    </row>
    <row r="12" spans="1:16" x14ac:dyDescent="0.2">
      <c r="A12" s="17"/>
      <c r="E12" s="21"/>
    </row>
    <row r="13" spans="1:16" x14ac:dyDescent="0.2">
      <c r="A13" s="17">
        <v>1</v>
      </c>
      <c r="B13" s="31" t="s">
        <v>105</v>
      </c>
      <c r="C13" s="3">
        <v>1050183.5</v>
      </c>
      <c r="D13" s="43"/>
      <c r="E13" s="21" t="s">
        <v>106</v>
      </c>
      <c r="G13" s="70"/>
    </row>
    <row r="14" spans="1:16" x14ac:dyDescent="0.2">
      <c r="A14" s="17"/>
      <c r="C14" s="43"/>
      <c r="D14" s="43"/>
      <c r="E14" s="21"/>
    </row>
    <row r="15" spans="1:16" x14ac:dyDescent="0.2">
      <c r="A15" s="17">
        <v>2</v>
      </c>
      <c r="B15" t="s">
        <v>107</v>
      </c>
      <c r="C15" s="53"/>
      <c r="D15" s="53"/>
      <c r="E15" s="21"/>
    </row>
    <row r="16" spans="1:16" x14ac:dyDescent="0.2">
      <c r="B16" t="s">
        <v>108</v>
      </c>
      <c r="C16" s="58"/>
      <c r="D16" s="58"/>
      <c r="E16" s="59"/>
    </row>
    <row r="17" spans="1:7" x14ac:dyDescent="0.2">
      <c r="B17" t="s">
        <v>109</v>
      </c>
      <c r="C17" s="3">
        <f>-'WS 8 - ISO Invoices'!O46+'WS 9 - Schedule 1 Revenues'!C16</f>
        <v>776139.06399236794</v>
      </c>
      <c r="D17" s="60"/>
      <c r="E17" s="59" t="s">
        <v>110</v>
      </c>
      <c r="F17" s="61"/>
      <c r="G17" s="45"/>
    </row>
    <row r="18" spans="1:7" x14ac:dyDescent="0.2">
      <c r="C18" s="58"/>
      <c r="D18" s="58"/>
      <c r="E18" s="21"/>
      <c r="F18" s="53"/>
      <c r="G18" s="53"/>
    </row>
    <row r="19" spans="1:7" ht="15.75" thickBot="1" x14ac:dyDescent="0.25">
      <c r="A19" s="17">
        <v>3</v>
      </c>
      <c r="B19" t="s">
        <v>111</v>
      </c>
      <c r="C19" s="193">
        <f>+C13-C17</f>
        <v>274044.43600763206</v>
      </c>
      <c r="D19" s="62"/>
      <c r="E19" s="21" t="s">
        <v>112</v>
      </c>
    </row>
    <row r="20" spans="1:7" ht="15.75" thickTop="1" x14ac:dyDescent="0.2">
      <c r="C20" s="58"/>
      <c r="D20" s="58"/>
      <c r="E20" s="17"/>
    </row>
    <row r="21" spans="1:7" x14ac:dyDescent="0.2">
      <c r="A21" s="17">
        <v>4</v>
      </c>
      <c r="B21" t="s">
        <v>113</v>
      </c>
      <c r="C21" s="3">
        <f>'WS 13 True-up Interest -Sch1'!J54</f>
        <v>-68655.740607304353</v>
      </c>
      <c r="E21" t="s">
        <v>114</v>
      </c>
    </row>
    <row r="22" spans="1:7" x14ac:dyDescent="0.2">
      <c r="A22" s="17"/>
      <c r="C22" s="58"/>
      <c r="D22" s="58"/>
      <c r="E22" s="17"/>
    </row>
    <row r="23" spans="1:7" ht="15.75" thickBot="1" x14ac:dyDescent="0.25">
      <c r="A23" s="17">
        <v>5</v>
      </c>
      <c r="B23" t="s">
        <v>115</v>
      </c>
      <c r="C23" s="193">
        <f>C21+C19</f>
        <v>205388.69540032771</v>
      </c>
      <c r="D23" s="58"/>
      <c r="E23" s="21" t="s">
        <v>116</v>
      </c>
    </row>
    <row r="24" spans="1:7" ht="15.75" thickTop="1" x14ac:dyDescent="0.2">
      <c r="C24" s="58"/>
      <c r="D24" s="58"/>
      <c r="E24" s="17"/>
    </row>
    <row r="25" spans="1:7" x14ac:dyDescent="0.2">
      <c r="A25" s="188" t="s">
        <v>101</v>
      </c>
      <c r="B25" s="189"/>
      <c r="C25" s="189"/>
      <c r="D25" s="189"/>
      <c r="E25" s="190"/>
    </row>
    <row r="26" spans="1:7" x14ac:dyDescent="0.2">
      <c r="A26" s="17">
        <v>1</v>
      </c>
      <c r="B26" t="s">
        <v>117</v>
      </c>
      <c r="E26" s="17"/>
    </row>
  </sheetData>
  <pageMargins left="0.5" right="0.5" top="0.5" bottom="0.5" header="0.5" footer="0.5"/>
  <pageSetup paperSize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77D4-6323-400C-8E54-33BB786DC3E3}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horizontalDpi="1200" verticalDpi="1200" r:id="rId1"/>
  <customProperties>
    <customPr name="CafeStyleVersion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A315-DCFE-49B7-801D-81464D6B0CD4}">
  <sheetPr>
    <pageSetUpPr fitToPage="1"/>
  </sheetPr>
  <dimension ref="A1:S54"/>
  <sheetViews>
    <sheetView view="pageBreakPreview" topLeftCell="A16" zoomScale="85" zoomScaleNormal="85" zoomScaleSheetLayoutView="85" workbookViewId="0">
      <selection activeCell="E42" sqref="E42"/>
    </sheetView>
  </sheetViews>
  <sheetFormatPr defaultColWidth="8.88671875" defaultRowHeight="15" x14ac:dyDescent="0.2"/>
  <cols>
    <col min="1" max="1" width="8" customWidth="1"/>
    <col min="2" max="2" width="49" customWidth="1"/>
    <col min="3" max="3" width="14.88671875" customWidth="1"/>
    <col min="4" max="4" width="14" customWidth="1"/>
    <col min="5" max="5" width="13.6640625" customWidth="1"/>
    <col min="6" max="6" width="16.77734375" customWidth="1"/>
    <col min="7" max="7" width="16" customWidth="1"/>
    <col min="8" max="8" width="21.77734375" customWidth="1"/>
    <col min="9" max="9" width="17" customWidth="1"/>
    <col min="10" max="10" width="10.88671875" customWidth="1"/>
    <col min="11" max="11" width="19.5546875" customWidth="1"/>
    <col min="12" max="12" width="27.44140625" customWidth="1"/>
    <col min="14" max="14" width="11" customWidth="1"/>
  </cols>
  <sheetData>
    <row r="1" spans="1:16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x14ac:dyDescent="0.2">
      <c r="A4" s="97" t="s">
        <v>118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119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ht="15.75" x14ac:dyDescent="0.25">
      <c r="A7" s="9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9" spans="1:16" ht="15.75" x14ac:dyDescent="0.25">
      <c r="A9" s="1"/>
      <c r="B9" s="77"/>
      <c r="C9" s="12" t="s">
        <v>6</v>
      </c>
      <c r="D9" s="12" t="s">
        <v>7</v>
      </c>
      <c r="E9" s="12" t="s">
        <v>8</v>
      </c>
      <c r="F9" s="12" t="s">
        <v>120</v>
      </c>
      <c r="G9" s="77" t="s">
        <v>121</v>
      </c>
    </row>
    <row r="10" spans="1:16" ht="47.25" x14ac:dyDescent="0.25">
      <c r="A10" s="182" t="s">
        <v>22</v>
      </c>
      <c r="B10" s="182" t="s">
        <v>122</v>
      </c>
      <c r="C10" s="194" t="s">
        <v>123</v>
      </c>
      <c r="D10" s="194" t="s">
        <v>124</v>
      </c>
      <c r="E10" s="194" t="s">
        <v>125</v>
      </c>
      <c r="F10" s="194" t="s">
        <v>126</v>
      </c>
      <c r="G10" s="194" t="s">
        <v>127</v>
      </c>
      <c r="H10" s="194" t="s">
        <v>29</v>
      </c>
    </row>
    <row r="11" spans="1:16" x14ac:dyDescent="0.2">
      <c r="A11" s="17"/>
      <c r="B11" s="17"/>
      <c r="C11" s="78"/>
      <c r="D11" s="78"/>
      <c r="E11" s="78"/>
      <c r="F11" s="78"/>
      <c r="G11" s="78"/>
      <c r="H11" s="78"/>
      <c r="I11" s="78"/>
      <c r="J11" s="78"/>
      <c r="K11" s="78"/>
    </row>
    <row r="12" spans="1:16" x14ac:dyDescent="0.2">
      <c r="A12" s="17">
        <v>1</v>
      </c>
      <c r="B12" t="str">
        <f>+B28</f>
        <v>Residential Service</v>
      </c>
      <c r="C12" s="79">
        <f>+C28</f>
        <v>672254013.86400056</v>
      </c>
      <c r="D12" s="2"/>
      <c r="E12" s="79">
        <f>+E28</f>
        <v>106647.84142927338</v>
      </c>
      <c r="F12" s="80">
        <f>+E12/C12</f>
        <v>1.5864217874472761E-4</v>
      </c>
      <c r="G12" s="2"/>
      <c r="H12" t="s">
        <v>128</v>
      </c>
    </row>
    <row r="13" spans="1:16" ht="15.75" x14ac:dyDescent="0.25">
      <c r="A13" s="17">
        <v>2</v>
      </c>
      <c r="B13" t="str">
        <f>+B29</f>
        <v>General Service</v>
      </c>
      <c r="C13" s="79">
        <f>C29</f>
        <v>160128437.604</v>
      </c>
      <c r="D13" s="79"/>
      <c r="E13" s="79">
        <f>+E29</f>
        <v>21890.445927913112</v>
      </c>
      <c r="F13" s="80">
        <f>+E13/C13</f>
        <v>1.3670554871738965E-4</v>
      </c>
      <c r="G13" s="81"/>
      <c r="H13" t="str">
        <f>H12</f>
        <v>2023 Actual</v>
      </c>
      <c r="I13" s="17"/>
      <c r="J13" s="17"/>
      <c r="K13" s="37"/>
      <c r="M13" s="64"/>
      <c r="O13" s="82"/>
    </row>
    <row r="14" spans="1:16" ht="15.75" x14ac:dyDescent="0.25">
      <c r="A14" s="17">
        <v>3</v>
      </c>
      <c r="B14" t="s">
        <v>129</v>
      </c>
      <c r="C14" s="79">
        <f>SUM(C30:C33)</f>
        <v>609140394.34200001</v>
      </c>
      <c r="D14" s="79">
        <f>SUM(D30:D33)</f>
        <v>143469.2944166667</v>
      </c>
      <c r="E14" s="79">
        <f>SUM(E30:E33)</f>
        <v>85474.247197109798</v>
      </c>
      <c r="F14" s="80">
        <f>+E14/C14</f>
        <v>1.4031945343148683E-4</v>
      </c>
      <c r="G14" s="81">
        <f>+E14/D14</f>
        <v>0.59576683320734536</v>
      </c>
      <c r="H14" t="str">
        <f t="shared" ref="H14:H22" si="0">H13</f>
        <v>2023 Actual</v>
      </c>
      <c r="I14" s="17"/>
      <c r="J14" s="83"/>
      <c r="K14" s="37"/>
      <c r="M14" s="64"/>
      <c r="O14" s="82"/>
    </row>
    <row r="15" spans="1:16" ht="15.75" x14ac:dyDescent="0.25">
      <c r="A15" s="17">
        <v>4</v>
      </c>
      <c r="B15" t="s">
        <v>130</v>
      </c>
      <c r="C15" s="79">
        <f>+C34</f>
        <v>7578164.0999999996</v>
      </c>
      <c r="D15" s="79">
        <f>+D34</f>
        <v>10066.241666666667</v>
      </c>
      <c r="E15" s="79">
        <f>+E34</f>
        <v>1901.1639166666666</v>
      </c>
      <c r="F15" s="80">
        <f>+E15/C15</f>
        <v>2.5087394408187424E-4</v>
      </c>
      <c r="G15" s="81">
        <f>+E15/D15</f>
        <v>0.18886531633371939</v>
      </c>
      <c r="H15" t="str">
        <f t="shared" si="0"/>
        <v>2023 Actual</v>
      </c>
      <c r="I15" s="84"/>
      <c r="J15" s="35"/>
      <c r="K15" s="37"/>
      <c r="M15" s="64"/>
      <c r="O15" s="82"/>
    </row>
    <row r="16" spans="1:16" ht="15.75" x14ac:dyDescent="0.25">
      <c r="A16" s="17">
        <v>5</v>
      </c>
      <c r="B16" t="s">
        <v>131</v>
      </c>
      <c r="C16" s="85">
        <f>+C35</f>
        <v>0</v>
      </c>
      <c r="D16" s="79"/>
      <c r="E16" s="79"/>
      <c r="F16" s="80"/>
      <c r="G16" s="81"/>
      <c r="H16" t="str">
        <f t="shared" si="0"/>
        <v>2023 Actual</v>
      </c>
      <c r="I16" s="84"/>
      <c r="J16" s="35"/>
      <c r="K16" s="37"/>
      <c r="M16" s="64"/>
      <c r="O16" s="82"/>
    </row>
    <row r="17" spans="1:19" ht="15.75" x14ac:dyDescent="0.25">
      <c r="A17" s="17">
        <v>6</v>
      </c>
      <c r="B17" t="s">
        <v>132</v>
      </c>
      <c r="C17" s="79">
        <f>+C36+C37</f>
        <v>6107296.2949999981</v>
      </c>
      <c r="D17" s="79"/>
      <c r="E17" s="79">
        <f>+E36+E37</f>
        <v>406.95750350033728</v>
      </c>
      <c r="F17" s="80">
        <f>+E17/C17</f>
        <v>6.6634642212055548E-5</v>
      </c>
      <c r="G17" s="81"/>
      <c r="H17" t="str">
        <f t="shared" si="0"/>
        <v>2023 Actual</v>
      </c>
      <c r="I17" s="84"/>
      <c r="J17" s="35"/>
      <c r="K17" s="37"/>
      <c r="M17" s="64"/>
      <c r="N17" s="82"/>
      <c r="O17" s="82"/>
    </row>
    <row r="18" spans="1:19" ht="15.75" x14ac:dyDescent="0.25">
      <c r="A18" s="17">
        <v>7</v>
      </c>
      <c r="B18" t="s">
        <v>133</v>
      </c>
      <c r="C18" s="79">
        <f>+C38+C39+C40</f>
        <v>167680</v>
      </c>
      <c r="D18" s="79">
        <f>+D38+D39+D40</f>
        <v>0</v>
      </c>
      <c r="E18" s="79">
        <f>+E38+E39+E40</f>
        <v>21.008784563676038</v>
      </c>
      <c r="F18" s="80">
        <f>+E18/C18</f>
        <v>1.252909384761214E-4</v>
      </c>
      <c r="G18" s="2">
        <f>+IFERROR(E18/D18,0)</f>
        <v>0</v>
      </c>
      <c r="H18" t="str">
        <f t="shared" si="0"/>
        <v>2023 Actual</v>
      </c>
      <c r="I18" s="84"/>
      <c r="J18" s="35"/>
      <c r="K18" s="37"/>
      <c r="M18" s="64"/>
      <c r="N18" s="82"/>
      <c r="O18" s="82"/>
    </row>
    <row r="19" spans="1:19" ht="15.75" x14ac:dyDescent="0.25">
      <c r="A19" s="17">
        <v>8</v>
      </c>
      <c r="B19" t="s">
        <v>134</v>
      </c>
      <c r="C19" s="85">
        <f>+C41</f>
        <v>0</v>
      </c>
      <c r="D19" s="79"/>
      <c r="E19" s="79"/>
      <c r="F19" s="80"/>
      <c r="G19" s="81"/>
      <c r="H19" t="str">
        <f t="shared" si="0"/>
        <v>2023 Actual</v>
      </c>
      <c r="I19" s="84"/>
      <c r="J19" s="35"/>
      <c r="K19" s="37"/>
      <c r="M19" s="64"/>
      <c r="N19" s="82"/>
      <c r="O19" s="82"/>
    </row>
    <row r="20" spans="1:19" ht="15.75" x14ac:dyDescent="0.25">
      <c r="A20" s="17">
        <v>9</v>
      </c>
      <c r="B20" t="s">
        <v>135</v>
      </c>
      <c r="C20" s="85">
        <f>C42</f>
        <v>0</v>
      </c>
      <c r="D20" s="79">
        <f>+D42</f>
        <v>0</v>
      </c>
      <c r="E20" s="79">
        <f>+D20</f>
        <v>0</v>
      </c>
      <c r="F20" s="80">
        <v>0</v>
      </c>
      <c r="G20" s="81"/>
      <c r="H20" t="str">
        <f t="shared" si="0"/>
        <v>2023 Actual</v>
      </c>
      <c r="I20" s="84"/>
      <c r="J20" s="35"/>
      <c r="K20" s="37"/>
      <c r="M20" s="64"/>
      <c r="N20" s="82"/>
      <c r="O20" s="82"/>
    </row>
    <row r="21" spans="1:19" ht="15.75" x14ac:dyDescent="0.25">
      <c r="A21" s="17">
        <v>10</v>
      </c>
      <c r="B21" t="s">
        <v>136</v>
      </c>
      <c r="C21" s="85">
        <f>C43</f>
        <v>16427952.675000001</v>
      </c>
      <c r="D21" s="79">
        <f>D43</f>
        <v>1713.7979166666667</v>
      </c>
      <c r="E21" s="79">
        <f>E43</f>
        <v>1713.7979166666667</v>
      </c>
      <c r="F21" s="80">
        <v>0</v>
      </c>
      <c r="G21" s="81"/>
      <c r="H21" t="str">
        <f t="shared" si="0"/>
        <v>2023 Actual</v>
      </c>
      <c r="I21" s="84"/>
      <c r="J21" s="35"/>
      <c r="K21" s="37"/>
      <c r="M21" s="64"/>
      <c r="N21" s="82"/>
      <c r="O21" s="82"/>
    </row>
    <row r="22" spans="1:19" ht="15.75" x14ac:dyDescent="0.25">
      <c r="A22" s="190">
        <v>11</v>
      </c>
      <c r="B22" s="189" t="s">
        <v>137</v>
      </c>
      <c r="C22" s="195">
        <f>+C44</f>
        <v>15567728.599999998</v>
      </c>
      <c r="D22" s="196">
        <f>+D44</f>
        <v>954.93333333333328</v>
      </c>
      <c r="E22" s="196">
        <f>+E44</f>
        <v>954.93333333333328</v>
      </c>
      <c r="F22" s="197">
        <v>0</v>
      </c>
      <c r="G22" s="198"/>
      <c r="H22" s="189" t="str">
        <f t="shared" si="0"/>
        <v>2023 Actual</v>
      </c>
      <c r="I22" s="86"/>
      <c r="J22" s="17"/>
      <c r="K22" s="37"/>
      <c r="M22" s="64"/>
      <c r="O22" s="82"/>
    </row>
    <row r="23" spans="1:19" ht="15.75" x14ac:dyDescent="0.25">
      <c r="A23" s="17">
        <v>12</v>
      </c>
      <c r="B23" t="s">
        <v>67</v>
      </c>
      <c r="C23" s="79">
        <f>SUM(C12:C22)</f>
        <v>1487371667.4800003</v>
      </c>
      <c r="D23" s="79">
        <f>SUM(D12:D22)</f>
        <v>156204.26733333335</v>
      </c>
      <c r="E23" s="79">
        <f>SUM(E12:E22)</f>
        <v>219010.39600902697</v>
      </c>
      <c r="F23" s="79"/>
      <c r="G23" s="80"/>
      <c r="H23" s="35"/>
      <c r="I23" s="37"/>
      <c r="J23" s="17"/>
      <c r="K23" s="17"/>
      <c r="L23" s="37"/>
      <c r="M23" s="17"/>
      <c r="N23" s="64"/>
      <c r="P23" s="82"/>
    </row>
    <row r="24" spans="1:19" ht="15.75" x14ac:dyDescent="0.25">
      <c r="A24" s="17"/>
      <c r="C24" s="83"/>
      <c r="D24" s="83"/>
      <c r="E24" s="83"/>
      <c r="F24" s="64"/>
      <c r="G24" s="84"/>
      <c r="H24" s="35"/>
      <c r="I24" s="37"/>
      <c r="J24" s="17"/>
      <c r="K24" s="17"/>
      <c r="L24" s="37"/>
      <c r="M24" s="17"/>
      <c r="N24" s="64"/>
      <c r="P24" s="82"/>
    </row>
    <row r="25" spans="1:19" ht="15.75" x14ac:dyDescent="0.25">
      <c r="A25" s="17"/>
      <c r="C25" s="83"/>
      <c r="D25" s="83"/>
      <c r="E25" s="83"/>
      <c r="F25" s="64"/>
      <c r="G25" s="84"/>
      <c r="H25" s="35"/>
      <c r="I25" s="37"/>
      <c r="J25" s="17"/>
      <c r="K25" s="17"/>
      <c r="L25" s="37"/>
      <c r="M25" s="17"/>
      <c r="N25" s="64"/>
      <c r="P25" s="82"/>
    </row>
    <row r="26" spans="1:19" ht="15.75" x14ac:dyDescent="0.25">
      <c r="A26" s="17"/>
      <c r="B26" s="32"/>
      <c r="C26" s="12" t="s">
        <v>6</v>
      </c>
      <c r="D26" s="12" t="s">
        <v>7</v>
      </c>
      <c r="E26" s="12" t="s">
        <v>8</v>
      </c>
      <c r="F26" s="12" t="s">
        <v>9</v>
      </c>
      <c r="G26" s="12" t="s">
        <v>10</v>
      </c>
      <c r="H26" s="12" t="s">
        <v>138</v>
      </c>
      <c r="I26" s="12" t="s">
        <v>139</v>
      </c>
      <c r="J26" s="12" t="s">
        <v>140</v>
      </c>
      <c r="K26" s="12" t="s">
        <v>141</v>
      </c>
      <c r="L26" s="37"/>
      <c r="M26" s="17"/>
      <c r="N26" s="17"/>
      <c r="O26" s="37"/>
      <c r="P26" s="17"/>
      <c r="Q26" s="64"/>
      <c r="S26" s="82"/>
    </row>
    <row r="27" spans="1:19" s="1" customFormat="1" ht="68.25" customHeight="1" x14ac:dyDescent="0.25">
      <c r="A27" s="182" t="s">
        <v>22</v>
      </c>
      <c r="B27" s="183"/>
      <c r="C27" s="194" t="s">
        <v>142</v>
      </c>
      <c r="D27" s="194" t="s">
        <v>143</v>
      </c>
      <c r="E27" s="194" t="s">
        <v>125</v>
      </c>
      <c r="F27" s="194" t="s">
        <v>144</v>
      </c>
      <c r="G27" s="194" t="s">
        <v>145</v>
      </c>
      <c r="H27" s="194" t="s">
        <v>146</v>
      </c>
      <c r="I27" s="194" t="s">
        <v>147</v>
      </c>
      <c r="J27" s="194" t="s">
        <v>145</v>
      </c>
      <c r="K27" s="194" t="s">
        <v>148</v>
      </c>
      <c r="L27" s="194" t="s">
        <v>29</v>
      </c>
      <c r="N27" s="87"/>
      <c r="S27" s="87"/>
    </row>
    <row r="28" spans="1:19" x14ac:dyDescent="0.2">
      <c r="A28" s="17">
        <v>13</v>
      </c>
      <c r="B28" t="s">
        <v>149</v>
      </c>
      <c r="C28" s="79">
        <f>'WS 11 - Retail KWH Sales'!P9</f>
        <v>672254013.86400056</v>
      </c>
      <c r="D28" s="79"/>
      <c r="E28" s="79">
        <v>106647.84142927338</v>
      </c>
      <c r="F28" s="80">
        <f>+F12</f>
        <v>1.5864217874472761E-4</v>
      </c>
      <c r="G28" s="81">
        <v>0.91203000000000001</v>
      </c>
      <c r="H28" s="81">
        <f>+F28/G28</f>
        <v>1.7394403555225991E-4</v>
      </c>
      <c r="I28" s="79"/>
      <c r="J28" s="88"/>
      <c r="K28" s="88"/>
      <c r="L28" t="s">
        <v>128</v>
      </c>
      <c r="M28" s="64"/>
      <c r="N28" s="112"/>
    </row>
    <row r="29" spans="1:19" x14ac:dyDescent="0.2">
      <c r="A29" s="17">
        <v>14</v>
      </c>
      <c r="B29" t="s">
        <v>150</v>
      </c>
      <c r="C29" s="79">
        <f>'WS 11 - Retail KWH Sales'!P10</f>
        <v>160128437.604</v>
      </c>
      <c r="D29" s="79"/>
      <c r="E29" s="79">
        <v>21890.445927913112</v>
      </c>
      <c r="F29" s="80">
        <f>+F13</f>
        <v>1.3670554871738965E-4</v>
      </c>
      <c r="G29" s="81">
        <v>0.91203000000000001</v>
      </c>
      <c r="H29" s="81">
        <f>+F29/G29</f>
        <v>1.4989150435554713E-4</v>
      </c>
      <c r="I29" s="79"/>
      <c r="J29" s="88"/>
      <c r="K29" s="88"/>
      <c r="L29" t="str">
        <f>L28</f>
        <v>2023 Actual</v>
      </c>
      <c r="M29" s="64"/>
      <c r="N29" s="112"/>
    </row>
    <row r="30" spans="1:19" x14ac:dyDescent="0.2">
      <c r="A30" s="17">
        <v>15</v>
      </c>
      <c r="B30" t="s">
        <v>151</v>
      </c>
      <c r="C30" s="79">
        <f>'WS 11 - Retail KWH Sales'!P12</f>
        <v>363748891.90100002</v>
      </c>
      <c r="D30" s="79">
        <v>94995.884083333367</v>
      </c>
      <c r="E30" s="79">
        <v>50509.803065718719</v>
      </c>
      <c r="F30" s="80">
        <f>+F14</f>
        <v>1.4031945343148683E-4</v>
      </c>
      <c r="G30" s="81">
        <v>0.91203000000000001</v>
      </c>
      <c r="H30" s="81"/>
      <c r="I30" s="81">
        <f>+G14</f>
        <v>0.59576683320734536</v>
      </c>
      <c r="J30" s="81">
        <v>0.89371999999999996</v>
      </c>
      <c r="K30" s="81">
        <f>+I30/J30</f>
        <v>0.66661463680721633</v>
      </c>
      <c r="L30" t="str">
        <f t="shared" ref="L30:L44" si="1">L29</f>
        <v>2023 Actual</v>
      </c>
      <c r="M30" s="64"/>
      <c r="N30" s="112"/>
    </row>
    <row r="31" spans="1:19" x14ac:dyDescent="0.2">
      <c r="A31" s="17">
        <v>16</v>
      </c>
      <c r="B31" t="s">
        <v>152</v>
      </c>
      <c r="C31" s="79">
        <f>'WS 11 - Retail KWH Sales'!P14</f>
        <v>45575679.661000006</v>
      </c>
      <c r="D31" s="79">
        <v>10890.262416666666</v>
      </c>
      <c r="E31" s="79">
        <v>6338.1660548378686</v>
      </c>
      <c r="F31" s="80">
        <f>+F14</f>
        <v>1.4031945343148683E-4</v>
      </c>
      <c r="G31" s="81">
        <v>0.94184000000000001</v>
      </c>
      <c r="H31" s="81"/>
      <c r="I31" s="81">
        <f>+G14</f>
        <v>0.59576683320734536</v>
      </c>
      <c r="J31" s="81">
        <v>0.92535999999999996</v>
      </c>
      <c r="K31" s="81">
        <f>+I31/J31</f>
        <v>0.64382168367699644</v>
      </c>
      <c r="L31" t="str">
        <f t="shared" si="1"/>
        <v>2023 Actual</v>
      </c>
      <c r="M31" s="64"/>
      <c r="N31" s="112"/>
    </row>
    <row r="32" spans="1:19" x14ac:dyDescent="0.2">
      <c r="A32" s="17">
        <v>17</v>
      </c>
      <c r="B32" t="s">
        <v>153</v>
      </c>
      <c r="C32" s="79">
        <f>'WS 11 - Retail KWH Sales'!P18</f>
        <v>124115309.48</v>
      </c>
      <c r="D32" s="79">
        <v>22725.366666666665</v>
      </c>
      <c r="E32" s="79">
        <v>15939.041404401762</v>
      </c>
      <c r="F32" s="80">
        <f>+F14</f>
        <v>1.4031945343148683E-4</v>
      </c>
      <c r="G32" s="81">
        <v>0.94184000000000001</v>
      </c>
      <c r="H32" s="81"/>
      <c r="I32" s="81">
        <f>+G14</f>
        <v>0.59576683320734536</v>
      </c>
      <c r="J32" s="81">
        <v>0.92535999999999996</v>
      </c>
      <c r="K32" s="81">
        <f>+I32/J32</f>
        <v>0.64382168367699644</v>
      </c>
      <c r="L32" t="str">
        <f t="shared" si="1"/>
        <v>2023 Actual</v>
      </c>
      <c r="M32" s="64"/>
      <c r="N32" s="112"/>
    </row>
    <row r="33" spans="1:14" x14ac:dyDescent="0.2">
      <c r="A33" s="17">
        <v>18</v>
      </c>
      <c r="B33" t="s">
        <v>154</v>
      </c>
      <c r="C33" s="79">
        <f>'WS 11 - Retail KWH Sales'!P20</f>
        <v>75700513.299999997</v>
      </c>
      <c r="D33" s="79">
        <v>14857.78125</v>
      </c>
      <c r="E33" s="79">
        <v>12687.236672151445</v>
      </c>
      <c r="F33" s="80">
        <f>+F14</f>
        <v>1.4031945343148683E-4</v>
      </c>
      <c r="G33" s="81">
        <v>0.97158</v>
      </c>
      <c r="H33" s="81"/>
      <c r="I33" s="81">
        <f>+G14</f>
        <v>0.59576683320734536</v>
      </c>
      <c r="J33" s="81">
        <v>0.96077000000000001</v>
      </c>
      <c r="K33" s="81">
        <f>+I33/J33</f>
        <v>0.62009308492911452</v>
      </c>
      <c r="L33" t="str">
        <f t="shared" si="1"/>
        <v>2023 Actual</v>
      </c>
      <c r="M33" s="64"/>
      <c r="N33" s="112"/>
    </row>
    <row r="34" spans="1:14" x14ac:dyDescent="0.2">
      <c r="A34" s="17">
        <v>19</v>
      </c>
      <c r="B34" t="s">
        <v>130</v>
      </c>
      <c r="C34" s="79">
        <f>'WS 11 - Retail KWH Sales'!P21</f>
        <v>7578164.0999999996</v>
      </c>
      <c r="D34" s="79">
        <v>10066.241666666667</v>
      </c>
      <c r="E34" s="79">
        <v>1901.1639166666666</v>
      </c>
      <c r="F34" s="80">
        <f>+F15</f>
        <v>2.5087394408187424E-4</v>
      </c>
      <c r="G34" s="81">
        <v>0.98236000000000001</v>
      </c>
      <c r="H34" s="81"/>
      <c r="I34" s="81">
        <f>+G15</f>
        <v>0.18886531633371939</v>
      </c>
      <c r="J34" s="81">
        <v>0.98465000000000003</v>
      </c>
      <c r="K34" s="81">
        <f>+I34/J34</f>
        <v>0.19180959359540892</v>
      </c>
      <c r="L34" t="str">
        <f t="shared" si="1"/>
        <v>2023 Actual</v>
      </c>
      <c r="M34" s="64"/>
      <c r="N34" s="112"/>
    </row>
    <row r="35" spans="1:14" x14ac:dyDescent="0.2">
      <c r="A35" s="17">
        <v>20</v>
      </c>
      <c r="B35" t="s">
        <v>131</v>
      </c>
      <c r="C35" s="79">
        <v>0</v>
      </c>
      <c r="D35" s="146"/>
      <c r="E35" s="79">
        <v>0</v>
      </c>
      <c r="F35" s="80"/>
      <c r="G35" s="81">
        <v>0.98236000000000001</v>
      </c>
      <c r="H35" s="81">
        <f t="shared" ref="H35:H40" si="2">+F35/G35</f>
        <v>0</v>
      </c>
      <c r="I35" s="79"/>
      <c r="J35" s="81"/>
      <c r="K35" s="81"/>
      <c r="L35" t="str">
        <f t="shared" si="1"/>
        <v>2023 Actual</v>
      </c>
      <c r="M35" s="64"/>
      <c r="N35" s="112"/>
    </row>
    <row r="36" spans="1:14" x14ac:dyDescent="0.2">
      <c r="A36" s="17">
        <v>21</v>
      </c>
      <c r="B36" t="s">
        <v>155</v>
      </c>
      <c r="C36" s="79">
        <f>'WS 11 - Retail KWH Sales'!P27</f>
        <v>4769790.8879999975</v>
      </c>
      <c r="D36" s="146"/>
      <c r="E36" s="79">
        <v>328.03539265303795</v>
      </c>
      <c r="F36" s="80">
        <f>+F17</f>
        <v>6.6634642212055548E-5</v>
      </c>
      <c r="G36" s="81">
        <v>0.91203000000000001</v>
      </c>
      <c r="H36" s="81">
        <f t="shared" si="2"/>
        <v>7.3061897319228033E-5</v>
      </c>
      <c r="I36" s="79"/>
      <c r="J36" s="81"/>
      <c r="K36" s="81"/>
      <c r="L36" t="str">
        <f t="shared" si="1"/>
        <v>2023 Actual</v>
      </c>
      <c r="M36" s="64"/>
      <c r="N36" s="112"/>
    </row>
    <row r="37" spans="1:14" x14ac:dyDescent="0.2">
      <c r="A37" s="17">
        <v>22</v>
      </c>
      <c r="B37" t="s">
        <v>156</v>
      </c>
      <c r="C37" s="79">
        <f>'WS 11 - Retail KWH Sales'!P28</f>
        <v>1337505.4070000001</v>
      </c>
      <c r="D37" s="146"/>
      <c r="E37" s="79">
        <v>78.922110847299322</v>
      </c>
      <c r="F37" s="80">
        <f>+F17</f>
        <v>6.6634642212055548E-5</v>
      </c>
      <c r="G37" s="81">
        <v>0.91203000000000001</v>
      </c>
      <c r="H37" s="81">
        <f t="shared" si="2"/>
        <v>7.3061897319228033E-5</v>
      </c>
      <c r="I37" s="79"/>
      <c r="J37" s="81"/>
      <c r="K37" s="81"/>
      <c r="L37" t="str">
        <f t="shared" si="1"/>
        <v>2023 Actual</v>
      </c>
      <c r="M37" s="64"/>
      <c r="N37" s="112"/>
    </row>
    <row r="38" spans="1:14" x14ac:dyDescent="0.2">
      <c r="A38" s="17">
        <v>23</v>
      </c>
      <c r="B38" t="s">
        <v>157</v>
      </c>
      <c r="C38" s="79">
        <v>0</v>
      </c>
      <c r="D38" s="146"/>
      <c r="E38" s="79">
        <v>0</v>
      </c>
      <c r="F38" s="80">
        <f>+F18</f>
        <v>1.252909384761214E-4</v>
      </c>
      <c r="G38" s="81">
        <v>0.91203000000000001</v>
      </c>
      <c r="H38" s="81">
        <f t="shared" si="2"/>
        <v>1.3737589605179807E-4</v>
      </c>
      <c r="I38" s="81">
        <f>+G18</f>
        <v>0</v>
      </c>
      <c r="J38" s="81">
        <v>0.89371999999999996</v>
      </c>
      <c r="K38" s="81">
        <f t="shared" ref="K38:K43" si="3">+I38/J38</f>
        <v>0</v>
      </c>
      <c r="L38" t="str">
        <f t="shared" si="1"/>
        <v>2023 Actual</v>
      </c>
      <c r="M38" s="64"/>
      <c r="N38" s="112"/>
    </row>
    <row r="39" spans="1:14" x14ac:dyDescent="0.2">
      <c r="A39" s="17">
        <v>24</v>
      </c>
      <c r="B39" t="s">
        <v>158</v>
      </c>
      <c r="C39" s="79">
        <f>'WS 11 - Retail KWH Sales'!P15</f>
        <v>167680</v>
      </c>
      <c r="D39" s="146"/>
      <c r="E39" s="79">
        <v>21.008784563676038</v>
      </c>
      <c r="F39" s="80">
        <f>+F38</f>
        <v>1.252909384761214E-4</v>
      </c>
      <c r="G39" s="81">
        <v>0.94184000000000001</v>
      </c>
      <c r="H39" s="81">
        <f t="shared" si="2"/>
        <v>1.3302783750543767E-4</v>
      </c>
      <c r="I39" s="81">
        <f>+G18</f>
        <v>0</v>
      </c>
      <c r="J39" s="81">
        <v>0.92535999999999996</v>
      </c>
      <c r="K39" s="81">
        <f t="shared" si="3"/>
        <v>0</v>
      </c>
      <c r="L39" t="str">
        <f t="shared" si="1"/>
        <v>2023 Actual</v>
      </c>
      <c r="M39" s="64"/>
      <c r="N39" s="112"/>
    </row>
    <row r="40" spans="1:14" x14ac:dyDescent="0.2">
      <c r="A40" s="17">
        <v>25</v>
      </c>
      <c r="B40" t="s">
        <v>159</v>
      </c>
      <c r="C40" s="79">
        <v>0</v>
      </c>
      <c r="D40" s="146"/>
      <c r="E40" s="79">
        <v>0</v>
      </c>
      <c r="F40" s="80">
        <f>+F39</f>
        <v>1.252909384761214E-4</v>
      </c>
      <c r="G40" s="81">
        <v>0.97158</v>
      </c>
      <c r="H40" s="81">
        <f t="shared" si="2"/>
        <v>1.2895586413483337E-4</v>
      </c>
      <c r="I40" s="81">
        <f>+G18</f>
        <v>0</v>
      </c>
      <c r="J40" s="81">
        <v>0.96077000000000001</v>
      </c>
      <c r="K40" s="81">
        <f t="shared" si="3"/>
        <v>0</v>
      </c>
      <c r="L40" t="str">
        <f t="shared" si="1"/>
        <v>2023 Actual</v>
      </c>
      <c r="M40" s="64"/>
      <c r="N40" s="112"/>
    </row>
    <row r="41" spans="1:14" x14ac:dyDescent="0.2">
      <c r="A41" s="17">
        <v>26</v>
      </c>
      <c r="B41" t="s">
        <v>134</v>
      </c>
      <c r="C41" s="79">
        <v>0</v>
      </c>
      <c r="D41" s="146"/>
      <c r="E41" s="79">
        <v>0</v>
      </c>
      <c r="F41" s="80">
        <f>+F14</f>
        <v>1.4031945343148683E-4</v>
      </c>
      <c r="G41" s="81">
        <v>0.91203000000000001</v>
      </c>
      <c r="H41" s="81"/>
      <c r="I41" s="81">
        <v>1</v>
      </c>
      <c r="J41" s="81">
        <v>0.89371999999999996</v>
      </c>
      <c r="K41" s="81">
        <f t="shared" si="3"/>
        <v>1.1189186769905564</v>
      </c>
      <c r="L41" t="str">
        <f t="shared" si="1"/>
        <v>2023 Actual</v>
      </c>
      <c r="M41" s="64"/>
      <c r="N41" s="112"/>
    </row>
    <row r="42" spans="1:14" x14ac:dyDescent="0.2">
      <c r="A42" s="17">
        <v>27</v>
      </c>
      <c r="B42" t="s">
        <v>135</v>
      </c>
      <c r="C42" s="79">
        <v>0</v>
      </c>
      <c r="D42" s="146"/>
      <c r="E42" s="79">
        <v>0</v>
      </c>
      <c r="F42" s="80">
        <f>+F30</f>
        <v>1.4031945343148683E-4</v>
      </c>
      <c r="G42" s="81">
        <v>0.94184000000000001</v>
      </c>
      <c r="H42" s="81"/>
      <c r="I42" s="81">
        <v>1</v>
      </c>
      <c r="J42" s="81">
        <v>0.92535999999999996</v>
      </c>
      <c r="K42" s="81">
        <f t="shared" si="3"/>
        <v>1.0806604996974152</v>
      </c>
      <c r="L42" t="str">
        <f t="shared" si="1"/>
        <v>2023 Actual</v>
      </c>
      <c r="M42" s="64"/>
      <c r="N42" s="112"/>
    </row>
    <row r="43" spans="1:14" x14ac:dyDescent="0.2">
      <c r="A43" s="17">
        <v>28</v>
      </c>
      <c r="B43" t="s">
        <v>136</v>
      </c>
      <c r="C43" s="79">
        <f>'WS 11 - Retail KWH Sales'!P23</f>
        <v>16427952.675000001</v>
      </c>
      <c r="D43" s="79">
        <v>1713.7979166666667</v>
      </c>
      <c r="E43" s="79">
        <v>1713.7979166666667</v>
      </c>
      <c r="F43" s="80">
        <f>F21</f>
        <v>0</v>
      </c>
      <c r="G43" s="81">
        <v>0.97158</v>
      </c>
      <c r="H43" s="81"/>
      <c r="I43" s="81">
        <v>1</v>
      </c>
      <c r="J43" s="81">
        <v>0.96077000000000001</v>
      </c>
      <c r="K43" s="81">
        <f t="shared" si="3"/>
        <v>1.0408318328007744</v>
      </c>
      <c r="L43" t="str">
        <f t="shared" si="1"/>
        <v>2023 Actual</v>
      </c>
      <c r="M43" s="64"/>
      <c r="N43" s="112"/>
    </row>
    <row r="44" spans="1:14" x14ac:dyDescent="0.2">
      <c r="A44" s="190">
        <v>29</v>
      </c>
      <c r="B44" s="189" t="s">
        <v>137</v>
      </c>
      <c r="C44" s="196">
        <f>'WS 11 - Retail KWH Sales'!P24</f>
        <v>15567728.599999998</v>
      </c>
      <c r="D44" s="196">
        <v>954.93333333333328</v>
      </c>
      <c r="E44" s="196">
        <v>954.93333333333328</v>
      </c>
      <c r="F44" s="197">
        <f>F22</f>
        <v>0</v>
      </c>
      <c r="G44" s="198">
        <v>0.98236000000000001</v>
      </c>
      <c r="H44" s="198"/>
      <c r="I44" s="198">
        <v>1</v>
      </c>
      <c r="J44" s="198">
        <v>0.98465000000000003</v>
      </c>
      <c r="K44" s="198">
        <f>+I44/J44</f>
        <v>1.0155892956888235</v>
      </c>
      <c r="L44" s="189" t="str">
        <f t="shared" si="1"/>
        <v>2023 Actual</v>
      </c>
      <c r="M44" s="64"/>
      <c r="N44" s="112"/>
    </row>
    <row r="45" spans="1:14" x14ac:dyDescent="0.2">
      <c r="A45" s="17">
        <v>30</v>
      </c>
      <c r="B45" t="s">
        <v>160</v>
      </c>
      <c r="C45" s="90">
        <f>SUM(C28:C44)</f>
        <v>1487371667.4800003</v>
      </c>
      <c r="D45" s="90">
        <f t="shared" ref="D45:E45" si="4">SUM(D28:D44)</f>
        <v>156204.26733333335</v>
      </c>
      <c r="E45" s="90">
        <f t="shared" si="4"/>
        <v>219010.396009027</v>
      </c>
      <c r="F45" s="90"/>
      <c r="G45" s="90"/>
      <c r="H45" s="2"/>
      <c r="I45" s="2"/>
      <c r="J45" s="2"/>
      <c r="K45" s="2"/>
      <c r="N45" s="89"/>
    </row>
    <row r="46" spans="1:14" x14ac:dyDescent="0.2">
      <c r="A46" s="17"/>
      <c r="C46" s="82"/>
      <c r="D46" s="91"/>
      <c r="F46" s="82"/>
      <c r="G46" s="82"/>
      <c r="N46" s="89"/>
    </row>
    <row r="47" spans="1:14" x14ac:dyDescent="0.2">
      <c r="A47" s="190" t="s">
        <v>101</v>
      </c>
      <c r="B47" s="189"/>
      <c r="C47" s="189"/>
      <c r="D47" s="189"/>
      <c r="E47" s="189"/>
      <c r="F47" s="189"/>
      <c r="G47" s="199"/>
      <c r="H47" s="189"/>
      <c r="I47" s="189"/>
      <c r="J47" s="189"/>
      <c r="K47" s="189"/>
      <c r="L47" s="189"/>
    </row>
    <row r="48" spans="1:14" x14ac:dyDescent="0.2">
      <c r="A48" s="17" t="s">
        <v>161</v>
      </c>
      <c r="B48" t="s">
        <v>162</v>
      </c>
      <c r="C48" s="92"/>
      <c r="E48" s="82"/>
      <c r="F48" s="82"/>
    </row>
    <row r="49" spans="3:6" x14ac:dyDescent="0.2">
      <c r="E49" s="17"/>
      <c r="F49" s="17"/>
    </row>
    <row r="54" spans="3:6" x14ac:dyDescent="0.2">
      <c r="C54" s="64"/>
    </row>
  </sheetData>
  <pageMargins left="0.5" right="0.5" top="0.5" bottom="0.5" header="0.5" footer="0.5"/>
  <pageSetup paperSize="5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73D7-DAD1-444B-85FB-B1F570A8A6BE}">
  <sheetPr>
    <pageSetUpPr fitToPage="1"/>
  </sheetPr>
  <dimension ref="A1:Q24"/>
  <sheetViews>
    <sheetView view="pageBreakPreview" zoomScale="70" zoomScaleNormal="70" zoomScaleSheetLayoutView="70" workbookViewId="0">
      <selection activeCell="L28" sqref="L28"/>
    </sheetView>
  </sheetViews>
  <sheetFormatPr defaultColWidth="8.88671875" defaultRowHeight="15" x14ac:dyDescent="0.2"/>
  <cols>
    <col min="1" max="1" width="5.44140625" style="17" customWidth="1"/>
    <col min="2" max="2" width="20.88671875" style="21" customWidth="1"/>
    <col min="3" max="3" width="11.109375" customWidth="1"/>
    <col min="4" max="15" width="15.109375" customWidth="1"/>
    <col min="16" max="16" width="15.44140625" customWidth="1"/>
    <col min="17" max="17" width="16.109375" customWidth="1"/>
    <col min="18" max="18" width="13" customWidth="1"/>
  </cols>
  <sheetData>
    <row r="1" spans="1:17" x14ac:dyDescent="0.2">
      <c r="A1" s="97" t="str">
        <f>'WS 1 - Wholesale Charges'!A1:P1</f>
        <v>Versant Power - Bangor Hydro District (BHD)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7" x14ac:dyDescent="0.2">
      <c r="A2" s="97" t="str">
        <f>'WS 1 - Wholesale Charges'!A2:P2</f>
        <v>Attachment 2 - Calculations in Support of Schedule 21-VP Rates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7" x14ac:dyDescent="0.2">
      <c r="A3" s="97" t="str">
        <f>'WS 1 - Wholesale Charges'!A3:P3</f>
        <v>Jan 1, 2025 through Dec 31, 2025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7" x14ac:dyDescent="0.2">
      <c r="A4" s="97" t="s">
        <v>163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7" x14ac:dyDescent="0.2">
      <c r="A5" s="97" t="s">
        <v>164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7" x14ac:dyDescent="0.2">
      <c r="A6" s="97" t="str">
        <f>'WS 1 - Wholesale Charges'!A6:P6</f>
        <v>Implemented Charges Based on 2023 Data and Certain Forecasts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15.75" x14ac:dyDescent="0.25">
      <c r="A7" s="9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9" spans="1:17" s="17" customFormat="1" ht="15.75" x14ac:dyDescent="0.25">
      <c r="A9" s="182" t="s">
        <v>22</v>
      </c>
      <c r="B9" s="200"/>
      <c r="C9" s="182"/>
      <c r="D9" s="182" t="s">
        <v>165</v>
      </c>
      <c r="E9" s="182" t="s">
        <v>166</v>
      </c>
      <c r="F9" s="182" t="s">
        <v>167</v>
      </c>
      <c r="G9" s="182" t="s">
        <v>168</v>
      </c>
      <c r="H9" s="182" t="s">
        <v>91</v>
      </c>
      <c r="I9" s="182" t="s">
        <v>169</v>
      </c>
      <c r="J9" s="182" t="s">
        <v>170</v>
      </c>
      <c r="K9" s="182" t="s">
        <v>171</v>
      </c>
      <c r="L9" s="182" t="s">
        <v>172</v>
      </c>
      <c r="M9" s="182" t="s">
        <v>173</v>
      </c>
      <c r="N9" s="182" t="s">
        <v>174</v>
      </c>
      <c r="O9" s="182" t="s">
        <v>175</v>
      </c>
      <c r="P9" s="182" t="s">
        <v>67</v>
      </c>
      <c r="Q9" s="12" t="s">
        <v>176</v>
      </c>
    </row>
    <row r="10" spans="1:17" s="17" customFormat="1" ht="15.75" x14ac:dyDescent="0.25">
      <c r="A10" s="12"/>
      <c r="B10" s="5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/>
    </row>
    <row r="11" spans="1:17" x14ac:dyDescent="0.2">
      <c r="A11" s="17">
        <v>1</v>
      </c>
      <c r="B11" s="21" t="s">
        <v>177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93"/>
      <c r="O11" s="17"/>
    </row>
    <row r="12" spans="1:17" x14ac:dyDescent="0.2">
      <c r="A12" s="17">
        <f t="shared" ref="A12:A14" si="0">A11+1</f>
        <v>2</v>
      </c>
      <c r="B12" s="68">
        <v>2023</v>
      </c>
      <c r="C12" t="s">
        <v>178</v>
      </c>
      <c r="D12" s="3">
        <f>'WS 8 - ISO Invoices'!C43</f>
        <v>3069540.4935389999</v>
      </c>
      <c r="E12" s="3">
        <f>'WS 8 - ISO Invoices'!D43</f>
        <v>3602085.7564599998</v>
      </c>
      <c r="F12" s="3">
        <f>'WS 8 - ISO Invoices'!E43</f>
        <v>2826136.6288784998</v>
      </c>
      <c r="G12" s="3">
        <f>'WS 8 - ISO Invoices'!F43</f>
        <v>3293447.153473</v>
      </c>
      <c r="H12" s="3">
        <f>'WS 8 - ISO Invoices'!G43</f>
        <v>2428463.613287</v>
      </c>
      <c r="I12" s="3">
        <f>'WS 8 - ISO Invoices'!H43</f>
        <v>2768953.7808768</v>
      </c>
      <c r="J12" s="3">
        <f>'WS 8 - ISO Invoices'!I43</f>
        <v>3273873.4421788002</v>
      </c>
      <c r="K12" s="3">
        <f>'WS 8 - ISO Invoices'!J43</f>
        <v>3003957.5301168002</v>
      </c>
      <c r="L12" s="3">
        <f>'WS 8 - ISO Invoices'!K43</f>
        <v>3295624.6539500002</v>
      </c>
      <c r="M12" s="3">
        <f>'WS 8 - ISO Invoices'!L43</f>
        <v>2758432.6612716001</v>
      </c>
      <c r="N12" s="3">
        <f>'WS 8 - ISO Invoices'!M43</f>
        <v>2957196.9048136002</v>
      </c>
      <c r="O12" s="3">
        <f>'WS 8 - ISO Invoices'!N43</f>
        <v>3057202.5747988001</v>
      </c>
      <c r="P12" s="3">
        <f>SUM(D12:O12)</f>
        <v>36334915.193643898</v>
      </c>
      <c r="Q12" t="s">
        <v>179</v>
      </c>
    </row>
    <row r="13" spans="1:17" x14ac:dyDescent="0.2">
      <c r="A13" s="17">
        <f t="shared" si="0"/>
        <v>3</v>
      </c>
      <c r="B13" s="68">
        <v>2024</v>
      </c>
      <c r="C13" t="s">
        <v>180</v>
      </c>
      <c r="D13" s="3">
        <v>3374601.2934500007</v>
      </c>
      <c r="E13" s="3">
        <v>3269992.9735000003</v>
      </c>
      <c r="F13" s="3">
        <v>3041118.3264763998</v>
      </c>
      <c r="G13" s="3">
        <v>2832596.9486644003</v>
      </c>
      <c r="H13" s="3">
        <v>2757273.494379282</v>
      </c>
      <c r="I13" s="3">
        <v>3683559.2568966672</v>
      </c>
      <c r="J13" s="3">
        <v>3571193.9542783336</v>
      </c>
      <c r="K13" s="3">
        <v>3891213.0171334199</v>
      </c>
      <c r="L13" s="3">
        <v>3110467.6913600001</v>
      </c>
      <c r="M13" s="3">
        <v>2894979.5816816669</v>
      </c>
      <c r="N13" s="3">
        <v>3167735.6643100004</v>
      </c>
      <c r="O13" s="3">
        <v>3351104.9110716674</v>
      </c>
      <c r="P13" s="3">
        <f>SUM(D13:O13)</f>
        <v>38945837.113201842</v>
      </c>
      <c r="Q13" t="s">
        <v>181</v>
      </c>
    </row>
    <row r="14" spans="1:17" x14ac:dyDescent="0.2">
      <c r="A14" s="17">
        <f t="shared" si="0"/>
        <v>4</v>
      </c>
      <c r="B14" s="68">
        <v>2025</v>
      </c>
      <c r="C14" t="s">
        <v>180</v>
      </c>
      <c r="D14" s="119">
        <v>4100919.5295000002</v>
      </c>
      <c r="E14" s="119">
        <v>4212736.0165000008</v>
      </c>
      <c r="F14" s="119">
        <v>3884543.8690000009</v>
      </c>
      <c r="G14" s="119">
        <v>3321932.0404999997</v>
      </c>
      <c r="H14" s="119">
        <v>3300217.1375713488</v>
      </c>
      <c r="I14" s="119">
        <v>4413154.2089999989</v>
      </c>
      <c r="J14" s="119">
        <v>4279928.6185000008</v>
      </c>
      <c r="K14" s="119">
        <v>4662822.8568205023</v>
      </c>
      <c r="L14" s="119">
        <v>3725157.128</v>
      </c>
      <c r="M14" s="119">
        <v>3464029.4095000001</v>
      </c>
      <c r="N14" s="119">
        <v>3789444.6630000002</v>
      </c>
      <c r="O14" s="119">
        <v>4030241.7565000001</v>
      </c>
      <c r="P14" s="119">
        <f>SUM(D14:O14)</f>
        <v>47185127.234391861</v>
      </c>
      <c r="Q14" t="s">
        <v>181</v>
      </c>
    </row>
    <row r="15" spans="1:17" x14ac:dyDescent="0.2">
      <c r="B15" s="6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pans="1:17" x14ac:dyDescent="0.2">
      <c r="A16" s="17">
        <v>5</v>
      </c>
      <c r="B16" s="68" t="s">
        <v>182</v>
      </c>
      <c r="D16" s="117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66">
        <f>'WS 12 True-up Interest -RNS Ch'!J55</f>
        <v>2521832.7160141841</v>
      </c>
      <c r="Q16" t="s">
        <v>183</v>
      </c>
    </row>
    <row r="17" spans="1:17" x14ac:dyDescent="0.2">
      <c r="A17" s="17">
        <v>6</v>
      </c>
      <c r="B17" s="21" t="s">
        <v>184</v>
      </c>
      <c r="P17" s="64">
        <f>P16+P14</f>
        <v>49706959.950406045</v>
      </c>
      <c r="Q17" t="s">
        <v>185</v>
      </c>
    </row>
    <row r="18" spans="1:17" x14ac:dyDescent="0.2">
      <c r="D18" s="53"/>
    </row>
    <row r="19" spans="1:17" x14ac:dyDescent="0.2">
      <c r="D19" s="53"/>
    </row>
    <row r="20" spans="1:17" x14ac:dyDescent="0.2">
      <c r="D20" s="94"/>
    </row>
    <row r="23" spans="1:17" x14ac:dyDescent="0.2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7" x14ac:dyDescent="0.2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</sheetData>
  <pageMargins left="0.5" right="0.5" top="0.5" bottom="0.5" header="0.5" footer="0.5"/>
  <pageSetup paperSize="5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17A4-3B92-4487-9ADB-AB30B08AC931}">
  <sheetPr>
    <pageSetUpPr fitToPage="1"/>
  </sheetPr>
  <dimension ref="A1:IG244"/>
  <sheetViews>
    <sheetView view="pageBreakPreview" zoomScale="70" zoomScaleNormal="70" zoomScaleSheetLayoutView="70" workbookViewId="0">
      <selection activeCell="C16" sqref="C16"/>
    </sheetView>
  </sheetViews>
  <sheetFormatPr defaultColWidth="8" defaultRowHeight="15" x14ac:dyDescent="0.2"/>
  <cols>
    <col min="1" max="1" width="4.77734375" style="150" customWidth="1"/>
    <col min="2" max="2" width="41.88671875" style="150" customWidth="1"/>
    <col min="3" max="3" width="13.44140625" style="150" customWidth="1"/>
    <col min="4" max="13" width="11.88671875" style="150" customWidth="1"/>
    <col min="14" max="14" width="14.6640625" style="150" customWidth="1"/>
    <col min="15" max="15" width="16.5546875" style="150" customWidth="1"/>
    <col min="16" max="16" width="9.6640625" style="150" customWidth="1"/>
    <col min="17" max="17" width="11" style="150" customWidth="1"/>
    <col min="18" max="16384" width="8" style="150"/>
  </cols>
  <sheetData>
    <row r="1" spans="1:241" x14ac:dyDescent="0.2">
      <c r="A1" s="251" t="s">
        <v>186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241" x14ac:dyDescent="0.2">
      <c r="A2" s="251" t="str">
        <f>'WS 7 - RNS Charges'!A2</f>
        <v>Attachment 2 - Calculations in Support of Schedule 21-VP Rates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241" s="148" customFormat="1" ht="15.75" x14ac:dyDescent="0.25">
      <c r="A3" s="251" t="str">
        <f>'WS 1 - Wholesale Charges'!A3</f>
        <v>Jan 1, 2025 through Dec 31, 2025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</row>
    <row r="4" spans="1:241" s="148" customFormat="1" ht="15.75" x14ac:dyDescent="0.25">
      <c r="A4" s="251" t="s">
        <v>187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</row>
    <row r="5" spans="1:241" s="148" customFormat="1" ht="15.75" x14ac:dyDescent="0.25">
      <c r="A5" s="251" t="s">
        <v>188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</row>
    <row r="6" spans="1:241" x14ac:dyDescent="0.2">
      <c r="A6" s="251" t="str">
        <f>'WS 7 - RNS Charges'!A6</f>
        <v>Implemented Charges Based on 2023 Data and Certain Forecasts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</row>
    <row r="7" spans="1:241" s="154" customFormat="1" ht="15.75" x14ac:dyDescent="0.25">
      <c r="A7" s="153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241" x14ac:dyDescent="0.2"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</row>
    <row r="9" spans="1:241" ht="15.75" x14ac:dyDescent="0.25">
      <c r="B9" s="147"/>
      <c r="C9" s="147">
        <v>2023</v>
      </c>
      <c r="D9" s="147">
        <f>+C9</f>
        <v>2023</v>
      </c>
      <c r="E9" s="147">
        <f t="shared" ref="E9:N9" si="0">+D9</f>
        <v>2023</v>
      </c>
      <c r="F9" s="147">
        <f t="shared" si="0"/>
        <v>2023</v>
      </c>
      <c r="G9" s="147">
        <f t="shared" si="0"/>
        <v>2023</v>
      </c>
      <c r="H9" s="147">
        <f t="shared" si="0"/>
        <v>2023</v>
      </c>
      <c r="I9" s="147">
        <f t="shared" si="0"/>
        <v>2023</v>
      </c>
      <c r="J9" s="147">
        <f t="shared" si="0"/>
        <v>2023</v>
      </c>
      <c r="K9" s="147">
        <f t="shared" si="0"/>
        <v>2023</v>
      </c>
      <c r="L9" s="147">
        <f t="shared" si="0"/>
        <v>2023</v>
      </c>
      <c r="M9" s="147">
        <f t="shared" si="0"/>
        <v>2023</v>
      </c>
      <c r="N9" s="147">
        <f t="shared" si="0"/>
        <v>2023</v>
      </c>
      <c r="O9" s="147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</row>
    <row r="10" spans="1:241" ht="15.75" x14ac:dyDescent="0.25">
      <c r="A10" s="201" t="s">
        <v>22</v>
      </c>
      <c r="B10" s="201"/>
      <c r="C10" s="202" t="s">
        <v>165</v>
      </c>
      <c r="D10" s="202" t="s">
        <v>166</v>
      </c>
      <c r="E10" s="202" t="s">
        <v>167</v>
      </c>
      <c r="F10" s="202" t="s">
        <v>168</v>
      </c>
      <c r="G10" s="202" t="s">
        <v>91</v>
      </c>
      <c r="H10" s="202" t="s">
        <v>169</v>
      </c>
      <c r="I10" s="203" t="s">
        <v>170</v>
      </c>
      <c r="J10" s="203" t="s">
        <v>171</v>
      </c>
      <c r="K10" s="203" t="s">
        <v>172</v>
      </c>
      <c r="L10" s="203" t="s">
        <v>173</v>
      </c>
      <c r="M10" s="203" t="s">
        <v>174</v>
      </c>
      <c r="N10" s="203" t="s">
        <v>175</v>
      </c>
      <c r="O10" s="201" t="s">
        <v>67</v>
      </c>
    </row>
    <row r="11" spans="1:241" ht="15.75" x14ac:dyDescent="0.25"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1:241" x14ac:dyDescent="0.2">
      <c r="A12" s="155">
        <v>1</v>
      </c>
      <c r="B12" s="150" t="s">
        <v>189</v>
      </c>
      <c r="C12" s="149">
        <v>50309.122499999998</v>
      </c>
      <c r="D12" s="149">
        <v>59254.649999999987</v>
      </c>
      <c r="E12" s="149">
        <v>46245.858749999999</v>
      </c>
      <c r="F12" s="149">
        <v>53843.107499999998</v>
      </c>
      <c r="G12" s="149">
        <v>39604.792500000003</v>
      </c>
      <c r="H12" s="149">
        <v>45230.093999999997</v>
      </c>
      <c r="I12" s="149">
        <v>53918.660249999994</v>
      </c>
      <c r="J12" s="149">
        <v>49263.668999999987</v>
      </c>
      <c r="K12" s="149">
        <v>54335.53125</v>
      </c>
      <c r="L12" s="149">
        <v>45090.659249999997</v>
      </c>
      <c r="M12" s="149">
        <v>48087.175499999998</v>
      </c>
      <c r="N12" s="149">
        <v>51328.572749999999</v>
      </c>
      <c r="O12" s="156">
        <f>SUM(C12:N12)</f>
        <v>596511.89325000008</v>
      </c>
      <c r="Q12" s="157"/>
    </row>
    <row r="13" spans="1:241" x14ac:dyDescent="0.2">
      <c r="A13" s="155">
        <v>2</v>
      </c>
      <c r="B13" s="150" t="s">
        <v>190</v>
      </c>
      <c r="C13" s="149">
        <v>1722.4271000000001</v>
      </c>
      <c r="D13" s="149">
        <v>2028.694</v>
      </c>
      <c r="E13" s="149">
        <v>1583.3136500000001</v>
      </c>
      <c r="F13" s="149">
        <v>1843.4196999999999</v>
      </c>
      <c r="G13" s="149">
        <v>1355.9443000000001</v>
      </c>
      <c r="H13" s="149">
        <v>1548.5370399999999</v>
      </c>
      <c r="I13" s="149">
        <v>1846.00639</v>
      </c>
      <c r="J13" s="149">
        <v>1686.6340399999999</v>
      </c>
      <c r="K13" s="149">
        <v>1860.2787499999999</v>
      </c>
      <c r="L13" s="149">
        <v>1543.76323</v>
      </c>
      <c r="M13" s="149">
        <v>1646.3545799999999</v>
      </c>
      <c r="N13" s="149">
        <v>1757.32989</v>
      </c>
      <c r="O13" s="156">
        <f t="shared" ref="O13:O16" si="1">SUM(C13:N13)</f>
        <v>20422.702669999999</v>
      </c>
      <c r="Q13" s="157"/>
    </row>
    <row r="14" spans="1:241" x14ac:dyDescent="0.2">
      <c r="A14" s="155">
        <v>3</v>
      </c>
      <c r="B14" s="150" t="s">
        <v>191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56">
        <f>SUM(C14:M14)</f>
        <v>0</v>
      </c>
      <c r="Q14" s="157"/>
    </row>
    <row r="15" spans="1:241" x14ac:dyDescent="0.2">
      <c r="A15" s="155">
        <v>4</v>
      </c>
      <c r="B15" s="150" t="s">
        <v>192</v>
      </c>
      <c r="C15" s="149">
        <v>35856.878006999999</v>
      </c>
      <c r="D15" s="149">
        <v>42232.633979999999</v>
      </c>
      <c r="E15" s="149">
        <v>32960.863420499998</v>
      </c>
      <c r="F15" s="149">
        <v>38375.659148999999</v>
      </c>
      <c r="G15" s="149">
        <v>28227.568730999999</v>
      </c>
      <c r="H15" s="149">
        <v>35927.826560000001</v>
      </c>
      <c r="I15" s="149">
        <v>42829.454960000003</v>
      </c>
      <c r="J15" s="149">
        <v>39131.834560000003</v>
      </c>
      <c r="K15" s="149">
        <v>43160.59</v>
      </c>
      <c r="L15" s="149">
        <v>35817.068720000003</v>
      </c>
      <c r="M15" s="149">
        <v>38197.305119999997</v>
      </c>
      <c r="N15" s="149">
        <v>40772.058960000002</v>
      </c>
      <c r="O15" s="156">
        <f t="shared" si="1"/>
        <v>453489.74216749996</v>
      </c>
      <c r="Q15" s="157"/>
    </row>
    <row r="16" spans="1:241" x14ac:dyDescent="0.2">
      <c r="A16" s="155">
        <v>5</v>
      </c>
      <c r="B16" s="150" t="s">
        <v>193</v>
      </c>
      <c r="C16" s="149">
        <v>2900299.215932</v>
      </c>
      <c r="D16" s="149">
        <v>3416005.0184800001</v>
      </c>
      <c r="E16" s="149">
        <v>2666053.8130580001</v>
      </c>
      <c r="F16" s="149">
        <v>3104031.9271240002</v>
      </c>
      <c r="G16" s="149">
        <v>2283199.2077560001</v>
      </c>
      <c r="H16" s="149">
        <v>2607495.4132768</v>
      </c>
      <c r="I16" s="149">
        <v>3108387.5105788</v>
      </c>
      <c r="J16" s="149">
        <v>2840029.2725168001</v>
      </c>
      <c r="K16" s="149">
        <v>3132419.9439500002</v>
      </c>
      <c r="L16" s="149">
        <v>2599457.0600716001</v>
      </c>
      <c r="M16" s="149">
        <v>2772204.9296136</v>
      </c>
      <c r="N16" s="149">
        <v>2959070.0831988002</v>
      </c>
      <c r="O16" s="156">
        <f t="shared" si="1"/>
        <v>34388653.395556398</v>
      </c>
      <c r="Q16" s="157"/>
    </row>
    <row r="17" spans="1:17" x14ac:dyDescent="0.2">
      <c r="A17" s="155">
        <v>6</v>
      </c>
      <c r="B17" s="150" t="s">
        <v>194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56">
        <f>SUM(C17:N17)</f>
        <v>0</v>
      </c>
      <c r="Q17" s="157"/>
    </row>
    <row r="18" spans="1:17" x14ac:dyDescent="0.2">
      <c r="A18" s="155">
        <v>7</v>
      </c>
      <c r="B18" s="150" t="s">
        <v>195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56">
        <f>SUM(C18:N18)</f>
        <v>0</v>
      </c>
      <c r="Q18" s="157"/>
    </row>
    <row r="19" spans="1:17" ht="15.75" x14ac:dyDescent="0.25">
      <c r="A19" s="155">
        <v>8</v>
      </c>
      <c r="B19" s="147" t="s">
        <v>196</v>
      </c>
      <c r="C19" s="204">
        <f t="shared" ref="C19:N19" si="2">SUM(C12:C18)</f>
        <v>2988187.6435389998</v>
      </c>
      <c r="D19" s="204">
        <f t="shared" si="2"/>
        <v>3519520.9964600001</v>
      </c>
      <c r="E19" s="204">
        <f t="shared" si="2"/>
        <v>2746843.8488785001</v>
      </c>
      <c r="F19" s="204">
        <f t="shared" si="2"/>
        <v>3198094.113473</v>
      </c>
      <c r="G19" s="204">
        <f t="shared" si="2"/>
        <v>2352387.5132869999</v>
      </c>
      <c r="H19" s="204">
        <f t="shared" si="2"/>
        <v>2690201.8708767998</v>
      </c>
      <c r="I19" s="204">
        <f t="shared" si="2"/>
        <v>3206981.6321788002</v>
      </c>
      <c r="J19" s="204">
        <f t="shared" si="2"/>
        <v>2930111.4101168001</v>
      </c>
      <c r="K19" s="204">
        <f t="shared" si="2"/>
        <v>3231776.3439500001</v>
      </c>
      <c r="L19" s="204">
        <f t="shared" si="2"/>
        <v>2681908.5512716002</v>
      </c>
      <c r="M19" s="204">
        <f t="shared" si="2"/>
        <v>2860135.7648136001</v>
      </c>
      <c r="N19" s="204">
        <f t="shared" si="2"/>
        <v>3052928.0447988003</v>
      </c>
      <c r="O19" s="205">
        <f>SUM(C19:N19)</f>
        <v>35459077.733643897</v>
      </c>
      <c r="Q19" s="157"/>
    </row>
    <row r="20" spans="1:17" x14ac:dyDescent="0.2">
      <c r="A20" s="155">
        <v>9</v>
      </c>
      <c r="Q20" s="157"/>
    </row>
    <row r="21" spans="1:17" x14ac:dyDescent="0.2">
      <c r="A21" s="155">
        <v>10</v>
      </c>
      <c r="B21" s="150" t="s">
        <v>197</v>
      </c>
      <c r="C21" s="149">
        <v>-1495.88</v>
      </c>
      <c r="D21" s="149">
        <v>-1106.47</v>
      </c>
      <c r="E21" s="149">
        <v>-1300.67</v>
      </c>
      <c r="F21" s="149">
        <v>-1554.5</v>
      </c>
      <c r="G21" s="149">
        <v>-899.03</v>
      </c>
      <c r="H21" s="149">
        <v>-537</v>
      </c>
      <c r="I21" s="149">
        <v>-880.43</v>
      </c>
      <c r="J21" s="149">
        <v>-428.31</v>
      </c>
      <c r="K21" s="149">
        <v>-320.49</v>
      </c>
      <c r="L21" s="149">
        <v>-560.17999999999995</v>
      </c>
      <c r="M21" s="149">
        <v>-673.03</v>
      </c>
      <c r="N21" s="149">
        <v>-679.78</v>
      </c>
      <c r="O21" s="156">
        <f t="shared" ref="O21:O23" si="3">SUM(C21:N21)</f>
        <v>-10435.770000000002</v>
      </c>
      <c r="Q21" s="157"/>
    </row>
    <row r="22" spans="1:17" x14ac:dyDescent="0.2">
      <c r="A22" s="155">
        <v>11</v>
      </c>
      <c r="B22" s="150" t="s">
        <v>198</v>
      </c>
      <c r="C22" s="149">
        <v>-50933.152091556003</v>
      </c>
      <c r="D22" s="149">
        <v>-59587.746642792001</v>
      </c>
      <c r="E22" s="149">
        <v>-48179.015771327999</v>
      </c>
      <c r="F22" s="149">
        <v>-44434.978366140007</v>
      </c>
      <c r="G22" s="149">
        <v>-44633.645529804002</v>
      </c>
      <c r="H22" s="149">
        <v>-49039.357322819997</v>
      </c>
      <c r="I22" s="149">
        <v>-60787.525175549999</v>
      </c>
      <c r="J22" s="149">
        <v>-51942.791400450013</v>
      </c>
      <c r="K22" s="149">
        <v>-62957.580828900012</v>
      </c>
      <c r="L22" s="149">
        <v>-45410.357767020003</v>
      </c>
      <c r="M22" s="149">
        <v>-39417.843960810002</v>
      </c>
      <c r="N22" s="149">
        <v>-46486.687369799998</v>
      </c>
      <c r="O22" s="156">
        <f t="shared" si="3"/>
        <v>-603810.68222697009</v>
      </c>
      <c r="Q22" s="157"/>
    </row>
    <row r="23" spans="1:17" x14ac:dyDescent="0.2">
      <c r="A23" s="155">
        <v>12</v>
      </c>
      <c r="B23" s="150" t="s">
        <v>199</v>
      </c>
      <c r="C23" s="149">
        <v>-2798639.8782484722</v>
      </c>
      <c r="D23" s="149">
        <v>-3274160.2505553602</v>
      </c>
      <c r="E23" s="149">
        <v>-2647354.406815696</v>
      </c>
      <c r="F23" s="149">
        <v>-2441612.8751474079</v>
      </c>
      <c r="G23" s="149">
        <v>-2452554.5887437998</v>
      </c>
      <c r="H23" s="149">
        <v>-3076308.4431031598</v>
      </c>
      <c r="I23" s="149">
        <v>-3812857.5891419998</v>
      </c>
      <c r="J23" s="149">
        <v>-3258241.3988576401</v>
      </c>
      <c r="K23" s="149">
        <v>-3948736.13351308</v>
      </c>
      <c r="L23" s="149">
        <v>-2848246.0653082002</v>
      </c>
      <c r="M23" s="149">
        <v>-2472342.4492060798</v>
      </c>
      <c r="N23" s="149">
        <v>-2915678.5553725599</v>
      </c>
      <c r="O23" s="156">
        <f t="shared" si="3"/>
        <v>-35946732.634013452</v>
      </c>
      <c r="Q23" s="157"/>
    </row>
    <row r="24" spans="1:17" x14ac:dyDescent="0.2">
      <c r="A24" s="155">
        <v>13</v>
      </c>
      <c r="B24" s="150" t="s">
        <v>200</v>
      </c>
      <c r="C24" s="149">
        <v>-3495.53</v>
      </c>
      <c r="D24" s="149">
        <v>-3688.2</v>
      </c>
      <c r="E24" s="149">
        <v>-6145.9</v>
      </c>
      <c r="F24" s="149">
        <v>-5659.15</v>
      </c>
      <c r="G24" s="149">
        <v>-3632.72</v>
      </c>
      <c r="H24" s="149">
        <v>-1799.68</v>
      </c>
      <c r="I24" s="149">
        <v>-2899.82</v>
      </c>
      <c r="J24" s="149">
        <v>-2788.41</v>
      </c>
      <c r="K24" s="149">
        <v>-2310.52</v>
      </c>
      <c r="L24" s="149">
        <v>-3586.4</v>
      </c>
      <c r="M24" s="149">
        <v>-2529.63</v>
      </c>
      <c r="N24" s="149">
        <v>-2452.19</v>
      </c>
      <c r="O24" s="156">
        <f>SUM(C24:N24)</f>
        <v>-40988.15</v>
      </c>
      <c r="Q24" s="157"/>
    </row>
    <row r="25" spans="1:17" x14ac:dyDescent="0.2">
      <c r="A25" s="155">
        <v>14</v>
      </c>
      <c r="B25" s="150" t="s">
        <v>201</v>
      </c>
      <c r="C25" s="149">
        <v>-166259.65</v>
      </c>
      <c r="D25" s="149">
        <v>-96615.25</v>
      </c>
      <c r="E25" s="149">
        <v>-141047.38</v>
      </c>
      <c r="F25" s="149">
        <v>-116522.64</v>
      </c>
      <c r="G25" s="149">
        <v>-55768.65</v>
      </c>
      <c r="H25" s="149">
        <v>-15346.42</v>
      </c>
      <c r="I25" s="149">
        <v>-42021.23</v>
      </c>
      <c r="J25" s="149">
        <v>-15845.69</v>
      </c>
      <c r="K25" s="149">
        <v>-51193.82</v>
      </c>
      <c r="L25" s="149">
        <v>-99416.99</v>
      </c>
      <c r="M25" s="149">
        <v>-89363.51</v>
      </c>
      <c r="N25" s="149">
        <v>-68891</v>
      </c>
      <c r="O25" s="156">
        <f>SUM(C25:N25)</f>
        <v>-958292.23</v>
      </c>
      <c r="Q25" s="157"/>
    </row>
    <row r="26" spans="1:17" ht="15.75" x14ac:dyDescent="0.25">
      <c r="A26" s="155">
        <v>15</v>
      </c>
      <c r="B26" s="147" t="s">
        <v>202</v>
      </c>
      <c r="C26" s="204">
        <f t="shared" ref="C26:O26" si="4">SUM(C21:C25)</f>
        <v>-3020824.0903400281</v>
      </c>
      <c r="D26" s="204">
        <f t="shared" si="4"/>
        <v>-3435157.9171981523</v>
      </c>
      <c r="E26" s="204">
        <f t="shared" si="4"/>
        <v>-2844027.3725870238</v>
      </c>
      <c r="F26" s="204">
        <f t="shared" si="4"/>
        <v>-2609784.1435135477</v>
      </c>
      <c r="G26" s="204">
        <f t="shared" si="4"/>
        <v>-2557488.634273604</v>
      </c>
      <c r="H26" s="204">
        <f t="shared" si="4"/>
        <v>-3143030.9004259799</v>
      </c>
      <c r="I26" s="204">
        <f t="shared" si="4"/>
        <v>-3919446.5943175498</v>
      </c>
      <c r="J26" s="204">
        <f t="shared" si="4"/>
        <v>-3329246.6002580901</v>
      </c>
      <c r="K26" s="204">
        <f t="shared" si="4"/>
        <v>-4065518.54434198</v>
      </c>
      <c r="L26" s="204">
        <f t="shared" si="4"/>
        <v>-2997219.9930752204</v>
      </c>
      <c r="M26" s="204">
        <f t="shared" si="4"/>
        <v>-2604326.4631668893</v>
      </c>
      <c r="N26" s="204">
        <f t="shared" si="4"/>
        <v>-3034188.2127423598</v>
      </c>
      <c r="O26" s="205">
        <f t="shared" si="4"/>
        <v>-37560259.466240413</v>
      </c>
      <c r="Q26" s="157"/>
    </row>
    <row r="27" spans="1:17" x14ac:dyDescent="0.2">
      <c r="A27" s="155">
        <v>16</v>
      </c>
      <c r="Q27" s="157"/>
    </row>
    <row r="28" spans="1:17" x14ac:dyDescent="0.2">
      <c r="A28" s="155">
        <v>17</v>
      </c>
      <c r="B28" s="158" t="s">
        <v>203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56">
        <f>SUM(C28:N28)</f>
        <v>0</v>
      </c>
      <c r="Q28" s="157"/>
    </row>
    <row r="29" spans="1:17" x14ac:dyDescent="0.2">
      <c r="A29" s="155">
        <v>18</v>
      </c>
      <c r="B29" s="158" t="s">
        <v>204</v>
      </c>
      <c r="C29" s="149">
        <v>81352.850000000006</v>
      </c>
      <c r="D29" s="149">
        <v>82564.759999999995</v>
      </c>
      <c r="E29" s="149">
        <v>79292.78</v>
      </c>
      <c r="F29" s="149">
        <v>95353.04</v>
      </c>
      <c r="G29" s="149">
        <v>76076.099999999991</v>
      </c>
      <c r="H29" s="149">
        <v>78751.91</v>
      </c>
      <c r="I29" s="149">
        <v>66891.81</v>
      </c>
      <c r="J29" s="149">
        <v>73846.12000000001</v>
      </c>
      <c r="K29" s="149">
        <v>63848.31</v>
      </c>
      <c r="L29" s="149">
        <v>76524.11</v>
      </c>
      <c r="M29" s="149">
        <v>97061.14</v>
      </c>
      <c r="N29" s="149">
        <v>4274.5299999999934</v>
      </c>
      <c r="O29" s="156">
        <f>SUM(C29:N29)</f>
        <v>875837.46</v>
      </c>
      <c r="Q29" s="157"/>
    </row>
    <row r="30" spans="1:17" ht="15.75" x14ac:dyDescent="0.25">
      <c r="A30" s="155">
        <v>19</v>
      </c>
      <c r="B30" s="147" t="s">
        <v>205</v>
      </c>
      <c r="C30" s="204">
        <f>C29</f>
        <v>81352.850000000006</v>
      </c>
      <c r="D30" s="204">
        <f t="shared" ref="D30:N30" si="5">D29</f>
        <v>82564.759999999995</v>
      </c>
      <c r="E30" s="204">
        <f t="shared" si="5"/>
        <v>79292.78</v>
      </c>
      <c r="F30" s="204">
        <f t="shared" si="5"/>
        <v>95353.04</v>
      </c>
      <c r="G30" s="204">
        <f t="shared" si="5"/>
        <v>76076.099999999991</v>
      </c>
      <c r="H30" s="204">
        <f t="shared" si="5"/>
        <v>78751.91</v>
      </c>
      <c r="I30" s="204">
        <f t="shared" si="5"/>
        <v>66891.81</v>
      </c>
      <c r="J30" s="204">
        <f t="shared" si="5"/>
        <v>73846.12000000001</v>
      </c>
      <c r="K30" s="204">
        <f t="shared" si="5"/>
        <v>63848.31</v>
      </c>
      <c r="L30" s="204">
        <f t="shared" si="5"/>
        <v>76524.11</v>
      </c>
      <c r="M30" s="204">
        <f t="shared" si="5"/>
        <v>97061.14</v>
      </c>
      <c r="N30" s="204">
        <f t="shared" si="5"/>
        <v>4274.5299999999934</v>
      </c>
      <c r="O30" s="205">
        <f>+O28+O29</f>
        <v>875837.46</v>
      </c>
      <c r="Q30" s="157"/>
    </row>
    <row r="31" spans="1:17" x14ac:dyDescent="0.2">
      <c r="A31" s="155">
        <v>20</v>
      </c>
      <c r="Q31" s="157"/>
    </row>
    <row r="32" spans="1:17" x14ac:dyDescent="0.2">
      <c r="A32" s="155">
        <v>21</v>
      </c>
      <c r="B32" s="158" t="s">
        <v>206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56">
        <f t="shared" ref="O32:O37" si="6">SUM(C32:N32)</f>
        <v>0</v>
      </c>
      <c r="P32" s="159"/>
      <c r="Q32" s="157"/>
    </row>
    <row r="33" spans="1:17" x14ac:dyDescent="0.2">
      <c r="A33" s="155">
        <v>22</v>
      </c>
      <c r="B33" s="158" t="s">
        <v>207</v>
      </c>
      <c r="C33" s="149">
        <v>-71.010000000000005</v>
      </c>
      <c r="D33" s="149">
        <v>805.85</v>
      </c>
      <c r="E33" s="149">
        <v>-198.25</v>
      </c>
      <c r="F33" s="149">
        <v>0</v>
      </c>
      <c r="G33" s="149">
        <v>0</v>
      </c>
      <c r="H33" s="149">
        <v>-104.92</v>
      </c>
      <c r="I33" s="149">
        <v>-397.74</v>
      </c>
      <c r="J33" s="149">
        <v>-164.91</v>
      </c>
      <c r="K33" s="149">
        <v>-540.99</v>
      </c>
      <c r="L33" s="149">
        <v>-141.86000000000001</v>
      </c>
      <c r="M33" s="149">
        <v>278.43</v>
      </c>
      <c r="N33" s="149">
        <v>469.58</v>
      </c>
      <c r="O33" s="156">
        <f t="shared" si="6"/>
        <v>-65.820000000000107</v>
      </c>
      <c r="P33" s="159"/>
      <c r="Q33" s="157"/>
    </row>
    <row r="34" spans="1:17" x14ac:dyDescent="0.2">
      <c r="A34" s="155">
        <v>23</v>
      </c>
      <c r="B34" s="158" t="s">
        <v>208</v>
      </c>
      <c r="C34" s="149">
        <v>-4052.88</v>
      </c>
      <c r="D34" s="149">
        <v>45995.46</v>
      </c>
      <c r="E34" s="149">
        <v>-11315.43</v>
      </c>
      <c r="F34" s="149">
        <v>-40652.660000000003</v>
      </c>
      <c r="G34" s="149">
        <v>4981.3500000000004</v>
      </c>
      <c r="H34" s="149">
        <v>-5765.84</v>
      </c>
      <c r="I34" s="149">
        <v>-21856.13</v>
      </c>
      <c r="J34" s="149">
        <v>-9061.91</v>
      </c>
      <c r="K34" s="149">
        <v>-33060.120000000003</v>
      </c>
      <c r="L34" s="149">
        <v>-8899.58</v>
      </c>
      <c r="M34" s="149">
        <v>17466.93</v>
      </c>
      <c r="N34" s="149">
        <v>29458.44</v>
      </c>
      <c r="O34" s="156">
        <f t="shared" si="6"/>
        <v>-36762.369999999995</v>
      </c>
      <c r="Q34" s="157"/>
    </row>
    <row r="35" spans="1:17" x14ac:dyDescent="0.2">
      <c r="A35" s="155">
        <v>24</v>
      </c>
      <c r="B35" s="158" t="s">
        <v>209</v>
      </c>
      <c r="C35" s="149">
        <v>0</v>
      </c>
      <c r="D35" s="149">
        <v>0</v>
      </c>
      <c r="E35" s="149">
        <v>0</v>
      </c>
      <c r="F35" s="149">
        <v>-739.81</v>
      </c>
      <c r="G35" s="149">
        <v>90.66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56">
        <f t="shared" si="6"/>
        <v>-649.15</v>
      </c>
      <c r="Q35" s="157"/>
    </row>
    <row r="36" spans="1:17" x14ac:dyDescent="0.2">
      <c r="A36" s="155">
        <v>25</v>
      </c>
      <c r="B36" s="158" t="s">
        <v>210</v>
      </c>
      <c r="C36" s="149">
        <v>0</v>
      </c>
      <c r="D36" s="149">
        <v>0</v>
      </c>
      <c r="E36" s="149">
        <v>0</v>
      </c>
      <c r="F36" s="149">
        <v>88.98</v>
      </c>
      <c r="G36" s="149">
        <v>52.2</v>
      </c>
      <c r="H36" s="149">
        <v>75.44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56">
        <f t="shared" si="6"/>
        <v>216.62</v>
      </c>
      <c r="Q36" s="157"/>
    </row>
    <row r="37" spans="1:17" x14ac:dyDescent="0.2">
      <c r="A37" s="155">
        <v>26</v>
      </c>
      <c r="B37" s="158" t="s">
        <v>211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0.01</v>
      </c>
      <c r="N37" s="149">
        <v>0</v>
      </c>
      <c r="O37" s="156">
        <f t="shared" si="6"/>
        <v>0.01</v>
      </c>
      <c r="Q37" s="157"/>
    </row>
    <row r="38" spans="1:17" ht="16.5" thickBot="1" x14ac:dyDescent="0.3">
      <c r="A38" s="155">
        <v>27</v>
      </c>
      <c r="B38" s="147" t="s">
        <v>212</v>
      </c>
      <c r="C38" s="206">
        <f t="shared" ref="C38:N38" si="7">SUM(C32:C37)</f>
        <v>-4123.8900000000003</v>
      </c>
      <c r="D38" s="206">
        <f t="shared" si="7"/>
        <v>46801.31</v>
      </c>
      <c r="E38" s="206">
        <f t="shared" si="7"/>
        <v>-11513.68</v>
      </c>
      <c r="F38" s="206">
        <f t="shared" si="7"/>
        <v>-41303.49</v>
      </c>
      <c r="G38" s="206">
        <f t="shared" si="7"/>
        <v>5124.21</v>
      </c>
      <c r="H38" s="206">
        <f t="shared" si="7"/>
        <v>-5795.3200000000006</v>
      </c>
      <c r="I38" s="206">
        <f t="shared" si="7"/>
        <v>-22253.870000000003</v>
      </c>
      <c r="J38" s="206">
        <f t="shared" si="7"/>
        <v>-9226.82</v>
      </c>
      <c r="K38" s="206">
        <f t="shared" si="7"/>
        <v>-33601.11</v>
      </c>
      <c r="L38" s="206">
        <f t="shared" si="7"/>
        <v>-9041.44</v>
      </c>
      <c r="M38" s="206">
        <f t="shared" si="7"/>
        <v>17745.37</v>
      </c>
      <c r="N38" s="206">
        <f t="shared" si="7"/>
        <v>29928.02</v>
      </c>
      <c r="O38" s="205">
        <f>SUM(O33:O37)</f>
        <v>-37260.709999999992</v>
      </c>
      <c r="Q38" s="157"/>
    </row>
    <row r="39" spans="1:17" ht="15.75" thickTop="1" x14ac:dyDescent="0.2">
      <c r="A39" s="155">
        <v>28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56"/>
      <c r="Q39" s="157"/>
    </row>
    <row r="40" spans="1:17" ht="15.75" x14ac:dyDescent="0.25">
      <c r="A40" s="155">
        <v>29</v>
      </c>
      <c r="B40" s="160" t="s">
        <v>213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56"/>
      <c r="Q40" s="157"/>
    </row>
    <row r="41" spans="1:17" x14ac:dyDescent="0.2">
      <c r="A41" s="155">
        <v>30</v>
      </c>
      <c r="B41" s="150" t="s">
        <v>214</v>
      </c>
      <c r="C41" s="149">
        <f t="shared" ref="C41:N41" si="8">+C19+C30-C28</f>
        <v>3069540.4935389999</v>
      </c>
      <c r="D41" s="149">
        <f t="shared" si="8"/>
        <v>3602085.7564599998</v>
      </c>
      <c r="E41" s="149">
        <f t="shared" si="8"/>
        <v>2826136.6288784998</v>
      </c>
      <c r="F41" s="149">
        <f t="shared" si="8"/>
        <v>3293447.153473</v>
      </c>
      <c r="G41" s="149">
        <f t="shared" si="8"/>
        <v>2428463.613287</v>
      </c>
      <c r="H41" s="149">
        <f t="shared" si="8"/>
        <v>2768953.7808768</v>
      </c>
      <c r="I41" s="149">
        <f t="shared" si="8"/>
        <v>3273873.4421788002</v>
      </c>
      <c r="J41" s="149">
        <f t="shared" si="8"/>
        <v>3003957.5301168002</v>
      </c>
      <c r="K41" s="149">
        <f t="shared" si="8"/>
        <v>3295624.6539500002</v>
      </c>
      <c r="L41" s="149">
        <f t="shared" si="8"/>
        <v>2758432.6612716001</v>
      </c>
      <c r="M41" s="149">
        <f t="shared" si="8"/>
        <v>2957196.9048136002</v>
      </c>
      <c r="N41" s="149">
        <f t="shared" si="8"/>
        <v>3057202.5747988001</v>
      </c>
      <c r="O41" s="156">
        <f>SUM(C41:N41)</f>
        <v>36334915.193643898</v>
      </c>
      <c r="Q41" s="157"/>
    </row>
    <row r="42" spans="1:17" x14ac:dyDescent="0.2">
      <c r="A42" s="155">
        <v>31</v>
      </c>
      <c r="B42" s="150" t="s">
        <v>215</v>
      </c>
      <c r="C42" s="149">
        <f>-C28</f>
        <v>0</v>
      </c>
      <c r="D42" s="149">
        <f t="shared" ref="D42:N42" si="9">-D28</f>
        <v>0</v>
      </c>
      <c r="E42" s="149">
        <f t="shared" si="9"/>
        <v>0</v>
      </c>
      <c r="F42" s="149">
        <f t="shared" si="9"/>
        <v>0</v>
      </c>
      <c r="G42" s="149">
        <f t="shared" si="9"/>
        <v>0</v>
      </c>
      <c r="H42" s="149">
        <f t="shared" si="9"/>
        <v>0</v>
      </c>
      <c r="I42" s="149">
        <f t="shared" si="9"/>
        <v>0</v>
      </c>
      <c r="J42" s="149">
        <f t="shared" si="9"/>
        <v>0</v>
      </c>
      <c r="K42" s="149">
        <f t="shared" si="9"/>
        <v>0</v>
      </c>
      <c r="L42" s="149">
        <f t="shared" si="9"/>
        <v>0</v>
      </c>
      <c r="M42" s="149">
        <f t="shared" si="9"/>
        <v>0</v>
      </c>
      <c r="N42" s="149">
        <f t="shared" si="9"/>
        <v>0</v>
      </c>
      <c r="O42" s="156">
        <f>SUM(C42:N42)</f>
        <v>0</v>
      </c>
      <c r="Q42" s="157"/>
    </row>
    <row r="43" spans="1:17" x14ac:dyDescent="0.2">
      <c r="A43" s="155">
        <v>32</v>
      </c>
      <c r="B43" s="207" t="s">
        <v>216</v>
      </c>
      <c r="C43" s="208">
        <f>+C41+C42</f>
        <v>3069540.4935389999</v>
      </c>
      <c r="D43" s="208">
        <f t="shared" ref="D43:N43" si="10">+D41+D42</f>
        <v>3602085.7564599998</v>
      </c>
      <c r="E43" s="208">
        <f t="shared" si="10"/>
        <v>2826136.6288784998</v>
      </c>
      <c r="F43" s="208">
        <f t="shared" si="10"/>
        <v>3293447.153473</v>
      </c>
      <c r="G43" s="208">
        <f t="shared" si="10"/>
        <v>2428463.613287</v>
      </c>
      <c r="H43" s="208">
        <f t="shared" si="10"/>
        <v>2768953.7808768</v>
      </c>
      <c r="I43" s="208">
        <f t="shared" si="10"/>
        <v>3273873.4421788002</v>
      </c>
      <c r="J43" s="208">
        <f t="shared" si="10"/>
        <v>3003957.5301168002</v>
      </c>
      <c r="K43" s="208">
        <f t="shared" si="10"/>
        <v>3295624.6539500002</v>
      </c>
      <c r="L43" s="208">
        <f t="shared" si="10"/>
        <v>2758432.6612716001</v>
      </c>
      <c r="M43" s="208">
        <f t="shared" si="10"/>
        <v>2957196.9048136002</v>
      </c>
      <c r="N43" s="208">
        <f t="shared" si="10"/>
        <v>3057202.5747988001</v>
      </c>
      <c r="O43" s="209">
        <f>SUM(C43:N43)</f>
        <v>36334915.193643898</v>
      </c>
      <c r="Q43" s="157"/>
    </row>
    <row r="44" spans="1:17" x14ac:dyDescent="0.2">
      <c r="A44" s="155">
        <v>33</v>
      </c>
    </row>
    <row r="45" spans="1:17" x14ac:dyDescent="0.2">
      <c r="A45" s="155">
        <v>34</v>
      </c>
      <c r="B45" s="150" t="s">
        <v>217</v>
      </c>
      <c r="C45" s="161">
        <f>C26+C38-C22-C33</f>
        <v>-2973943.8182484722</v>
      </c>
      <c r="D45" s="161">
        <f t="shared" ref="D45:N45" si="11">D26+D38-D22-D33</f>
        <v>-3329574.7105553602</v>
      </c>
      <c r="E45" s="161">
        <f t="shared" si="11"/>
        <v>-2807163.7868156959</v>
      </c>
      <c r="F45" s="161">
        <f t="shared" si="11"/>
        <v>-2606652.6551474081</v>
      </c>
      <c r="G45" s="161">
        <f t="shared" si="11"/>
        <v>-2507730.7787438002</v>
      </c>
      <c r="H45" s="161">
        <f t="shared" si="11"/>
        <v>-3099681.9431031598</v>
      </c>
      <c r="I45" s="161">
        <f t="shared" si="11"/>
        <v>-3880515.1991419997</v>
      </c>
      <c r="J45" s="161">
        <f t="shared" si="11"/>
        <v>-3286365.7188576399</v>
      </c>
      <c r="K45" s="161">
        <f t="shared" si="11"/>
        <v>-4035621.0835130797</v>
      </c>
      <c r="L45" s="161">
        <f t="shared" si="11"/>
        <v>-2960709.2153082006</v>
      </c>
      <c r="M45" s="161">
        <f t="shared" si="11"/>
        <v>-2547441.6792060793</v>
      </c>
      <c r="N45" s="161">
        <f t="shared" si="11"/>
        <v>-2958243.0853725597</v>
      </c>
      <c r="O45" s="161">
        <f>SUM(C45:N45)</f>
        <v>-36993643.674013451</v>
      </c>
    </row>
    <row r="46" spans="1:17" x14ac:dyDescent="0.2">
      <c r="A46" s="150">
        <v>35</v>
      </c>
      <c r="B46" s="150" t="s">
        <v>218</v>
      </c>
      <c r="C46" s="161">
        <f>C22+C33</f>
        <v>-51004.162091556005</v>
      </c>
      <c r="D46" s="161">
        <f t="shared" ref="D46:O46" si="12">D22+D33</f>
        <v>-58781.896642792002</v>
      </c>
      <c r="E46" s="161">
        <f t="shared" si="12"/>
        <v>-48377.265771327999</v>
      </c>
      <c r="F46" s="161">
        <f t="shared" si="12"/>
        <v>-44434.978366140007</v>
      </c>
      <c r="G46" s="161">
        <f t="shared" si="12"/>
        <v>-44633.645529804002</v>
      </c>
      <c r="H46" s="161">
        <f t="shared" si="12"/>
        <v>-49144.277322819995</v>
      </c>
      <c r="I46" s="161">
        <f t="shared" si="12"/>
        <v>-61185.265175549997</v>
      </c>
      <c r="J46" s="161">
        <f t="shared" si="12"/>
        <v>-52107.701400450016</v>
      </c>
      <c r="K46" s="161">
        <f t="shared" si="12"/>
        <v>-63498.57082890001</v>
      </c>
      <c r="L46" s="161">
        <f t="shared" si="12"/>
        <v>-45552.217767020004</v>
      </c>
      <c r="M46" s="161">
        <f t="shared" si="12"/>
        <v>-39139.413960810001</v>
      </c>
      <c r="N46" s="161">
        <f t="shared" si="12"/>
        <v>-46017.107369799996</v>
      </c>
      <c r="O46" s="161">
        <f t="shared" si="12"/>
        <v>-603876.50222697004</v>
      </c>
    </row>
    <row r="76" spans="3:15" x14ac:dyDescent="0.2"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</row>
    <row r="77" spans="3:15" x14ac:dyDescent="0.2"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</row>
    <row r="78" spans="3:15" x14ac:dyDescent="0.2"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</row>
    <row r="79" spans="3:15" x14ac:dyDescent="0.2"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</row>
    <row r="80" spans="3:15" x14ac:dyDescent="0.2"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</row>
    <row r="81" spans="3:15" x14ac:dyDescent="0.2"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</row>
    <row r="82" spans="3:15" x14ac:dyDescent="0.2"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</row>
    <row r="83" spans="3:15" x14ac:dyDescent="0.2"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</row>
    <row r="84" spans="3:15" x14ac:dyDescent="0.2"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</row>
    <row r="85" spans="3:15" x14ac:dyDescent="0.2"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</row>
    <row r="86" spans="3:15" x14ac:dyDescent="0.2"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</row>
    <row r="87" spans="3:15" x14ac:dyDescent="0.2"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</row>
    <row r="88" spans="3:15" x14ac:dyDescent="0.2"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</row>
    <row r="89" spans="3:15" x14ac:dyDescent="0.2"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</row>
    <row r="90" spans="3:15" x14ac:dyDescent="0.2"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</row>
    <row r="91" spans="3:15" x14ac:dyDescent="0.2"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</row>
    <row r="92" spans="3:15" x14ac:dyDescent="0.2"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</row>
    <row r="93" spans="3:15" x14ac:dyDescent="0.2"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</row>
    <row r="94" spans="3:15" x14ac:dyDescent="0.2"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</row>
    <row r="95" spans="3:15" x14ac:dyDescent="0.2"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</row>
    <row r="96" spans="3:15" x14ac:dyDescent="0.2"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</row>
    <row r="97" spans="3:15" x14ac:dyDescent="0.2"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</row>
    <row r="98" spans="3:15" x14ac:dyDescent="0.2"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</row>
    <row r="99" spans="3:15" x14ac:dyDescent="0.2"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</row>
    <row r="100" spans="3:15" x14ac:dyDescent="0.2"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</row>
    <row r="101" spans="3:15" x14ac:dyDescent="0.2"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</row>
    <row r="102" spans="3:15" x14ac:dyDescent="0.2"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</row>
    <row r="103" spans="3:15" x14ac:dyDescent="0.2"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</row>
    <row r="104" spans="3:15" x14ac:dyDescent="0.2"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</row>
    <row r="105" spans="3:15" x14ac:dyDescent="0.2"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</row>
    <row r="106" spans="3:15" x14ac:dyDescent="0.2"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</row>
    <row r="107" spans="3:15" x14ac:dyDescent="0.2"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</row>
    <row r="108" spans="3:15" x14ac:dyDescent="0.2"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</row>
    <row r="109" spans="3:15" x14ac:dyDescent="0.2"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</row>
    <row r="110" spans="3:15" x14ac:dyDescent="0.2"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</row>
    <row r="111" spans="3:15" x14ac:dyDescent="0.2"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</row>
    <row r="112" spans="3:15" x14ac:dyDescent="0.2"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</row>
    <row r="113" spans="3:15" x14ac:dyDescent="0.2"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</row>
    <row r="114" spans="3:15" x14ac:dyDescent="0.2"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</row>
    <row r="115" spans="3:15" x14ac:dyDescent="0.2"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</row>
    <row r="116" spans="3:15" x14ac:dyDescent="0.2"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</row>
    <row r="117" spans="3:15" x14ac:dyDescent="0.2"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</row>
    <row r="118" spans="3:15" x14ac:dyDescent="0.2"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</row>
    <row r="119" spans="3:15" x14ac:dyDescent="0.2"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</row>
    <row r="120" spans="3:15" x14ac:dyDescent="0.2"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</row>
    <row r="121" spans="3:15" x14ac:dyDescent="0.2"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</row>
    <row r="122" spans="3:15" x14ac:dyDescent="0.2"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</row>
    <row r="123" spans="3:15" x14ac:dyDescent="0.2"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</row>
    <row r="124" spans="3:15" x14ac:dyDescent="0.2"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</row>
    <row r="125" spans="3:15" x14ac:dyDescent="0.2"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</row>
    <row r="126" spans="3:15" x14ac:dyDescent="0.2"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</row>
    <row r="127" spans="3:15" x14ac:dyDescent="0.2"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</row>
    <row r="128" spans="3:15" x14ac:dyDescent="0.2"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</row>
    <row r="129" spans="3:15" x14ac:dyDescent="0.2"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</row>
    <row r="130" spans="3:15" x14ac:dyDescent="0.2"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</row>
    <row r="131" spans="3:15" x14ac:dyDescent="0.2"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</row>
    <row r="132" spans="3:15" x14ac:dyDescent="0.2"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</row>
    <row r="133" spans="3:15" x14ac:dyDescent="0.2"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</row>
    <row r="134" spans="3:15" x14ac:dyDescent="0.2"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</row>
    <row r="135" spans="3:15" x14ac:dyDescent="0.2"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</row>
    <row r="136" spans="3:15" x14ac:dyDescent="0.2"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</row>
    <row r="137" spans="3:15" x14ac:dyDescent="0.2"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</row>
    <row r="138" spans="3:15" x14ac:dyDescent="0.2"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</row>
    <row r="139" spans="3:15" x14ac:dyDescent="0.2"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</row>
    <row r="140" spans="3:15" x14ac:dyDescent="0.2"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</row>
    <row r="141" spans="3:15" x14ac:dyDescent="0.2"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</row>
    <row r="142" spans="3:15" x14ac:dyDescent="0.2"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</row>
    <row r="143" spans="3:15" x14ac:dyDescent="0.2"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</row>
    <row r="144" spans="3:15" x14ac:dyDescent="0.2"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</row>
    <row r="145" spans="3:15" x14ac:dyDescent="0.2"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</row>
    <row r="146" spans="3:15" x14ac:dyDescent="0.2"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</row>
    <row r="147" spans="3:15" x14ac:dyDescent="0.2"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</row>
    <row r="148" spans="3:15" x14ac:dyDescent="0.2"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</row>
    <row r="149" spans="3:15" x14ac:dyDescent="0.2"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</row>
    <row r="150" spans="3:15" x14ac:dyDescent="0.2"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</row>
    <row r="151" spans="3:15" x14ac:dyDescent="0.2"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</row>
    <row r="152" spans="3:15" x14ac:dyDescent="0.2"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</row>
    <row r="153" spans="3:15" x14ac:dyDescent="0.2"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</row>
    <row r="154" spans="3:15" x14ac:dyDescent="0.2"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</row>
    <row r="155" spans="3:15" x14ac:dyDescent="0.2"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</row>
    <row r="156" spans="3:15" x14ac:dyDescent="0.2"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</row>
    <row r="157" spans="3:15" x14ac:dyDescent="0.2"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</row>
    <row r="158" spans="3:15" x14ac:dyDescent="0.2"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</row>
    <row r="159" spans="3:15" x14ac:dyDescent="0.2"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</row>
    <row r="160" spans="3:15" x14ac:dyDescent="0.2"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</row>
    <row r="161" spans="3:15" x14ac:dyDescent="0.2"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</row>
    <row r="162" spans="3:15" x14ac:dyDescent="0.2"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</row>
    <row r="163" spans="3:15" x14ac:dyDescent="0.2"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</row>
    <row r="164" spans="3:15" x14ac:dyDescent="0.2"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</row>
    <row r="165" spans="3:15" x14ac:dyDescent="0.2"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</row>
    <row r="166" spans="3:15" x14ac:dyDescent="0.2"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</row>
    <row r="167" spans="3:15" x14ac:dyDescent="0.2"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</row>
    <row r="168" spans="3:15" x14ac:dyDescent="0.2"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</row>
    <row r="169" spans="3:15" x14ac:dyDescent="0.2"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</row>
    <row r="170" spans="3:15" x14ac:dyDescent="0.2"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</row>
    <row r="171" spans="3:15" x14ac:dyDescent="0.2"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</row>
    <row r="172" spans="3:15" x14ac:dyDescent="0.2"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</row>
    <row r="173" spans="3:15" x14ac:dyDescent="0.2"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</row>
    <row r="174" spans="3:15" x14ac:dyDescent="0.2"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</row>
    <row r="175" spans="3:15" x14ac:dyDescent="0.2"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</row>
    <row r="176" spans="3:15" x14ac:dyDescent="0.2"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</row>
    <row r="177" spans="3:15" x14ac:dyDescent="0.2"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</row>
    <row r="178" spans="3:15" x14ac:dyDescent="0.2"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</row>
    <row r="179" spans="3:15" x14ac:dyDescent="0.2"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</row>
    <row r="180" spans="3:15" x14ac:dyDescent="0.2"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</row>
    <row r="181" spans="3:15" x14ac:dyDescent="0.2"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</row>
    <row r="182" spans="3:15" x14ac:dyDescent="0.2"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</row>
    <row r="183" spans="3:15" x14ac:dyDescent="0.2"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</row>
    <row r="184" spans="3:15" x14ac:dyDescent="0.2"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</row>
    <row r="185" spans="3:15" x14ac:dyDescent="0.2"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</row>
    <row r="186" spans="3:15" x14ac:dyDescent="0.2"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</row>
    <row r="187" spans="3:15" x14ac:dyDescent="0.2"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</row>
    <row r="188" spans="3:15" x14ac:dyDescent="0.2"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</row>
    <row r="189" spans="3:15" x14ac:dyDescent="0.2"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</row>
    <row r="190" spans="3:15" x14ac:dyDescent="0.2"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</row>
    <row r="191" spans="3:15" x14ac:dyDescent="0.2"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</row>
    <row r="192" spans="3:15" x14ac:dyDescent="0.2"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</row>
    <row r="193" spans="3:15" x14ac:dyDescent="0.2"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</row>
    <row r="194" spans="3:15" x14ac:dyDescent="0.2"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</row>
    <row r="195" spans="3:15" x14ac:dyDescent="0.2"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3:15" x14ac:dyDescent="0.2"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</row>
    <row r="197" spans="3:15" x14ac:dyDescent="0.2"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</row>
    <row r="198" spans="3:15" x14ac:dyDescent="0.2"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</row>
    <row r="199" spans="3:15" x14ac:dyDescent="0.2"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</row>
    <row r="200" spans="3:15" x14ac:dyDescent="0.2"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</row>
    <row r="201" spans="3:15" x14ac:dyDescent="0.2"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</row>
    <row r="202" spans="3:15" x14ac:dyDescent="0.2"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</row>
    <row r="203" spans="3:15" x14ac:dyDescent="0.2"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</row>
    <row r="204" spans="3:15" x14ac:dyDescent="0.2"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</row>
    <row r="205" spans="3:15" x14ac:dyDescent="0.2"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</row>
    <row r="206" spans="3:15" x14ac:dyDescent="0.2"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</row>
    <row r="207" spans="3:15" x14ac:dyDescent="0.2"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</row>
    <row r="208" spans="3:15" x14ac:dyDescent="0.2"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</row>
    <row r="209" spans="3:15" x14ac:dyDescent="0.2"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</row>
    <row r="210" spans="3:15" x14ac:dyDescent="0.2"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</row>
    <row r="211" spans="3:15" x14ac:dyDescent="0.2"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spans="3:15" x14ac:dyDescent="0.2"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</row>
    <row r="213" spans="3:15" x14ac:dyDescent="0.2"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</row>
    <row r="214" spans="3:15" x14ac:dyDescent="0.2"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</row>
    <row r="215" spans="3:15" x14ac:dyDescent="0.2"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</row>
    <row r="216" spans="3:15" x14ac:dyDescent="0.2"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</row>
    <row r="217" spans="3:15" x14ac:dyDescent="0.2"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</row>
    <row r="218" spans="3:15" x14ac:dyDescent="0.2"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</row>
    <row r="219" spans="3:15" x14ac:dyDescent="0.2"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</row>
    <row r="220" spans="3:15" x14ac:dyDescent="0.2"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</row>
    <row r="221" spans="3:15" x14ac:dyDescent="0.2"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</row>
    <row r="222" spans="3:15" x14ac:dyDescent="0.2"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</row>
    <row r="223" spans="3:15" x14ac:dyDescent="0.2"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</row>
    <row r="224" spans="3:15" x14ac:dyDescent="0.2"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</row>
    <row r="225" spans="3:15" x14ac:dyDescent="0.2"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</row>
    <row r="226" spans="3:15" x14ac:dyDescent="0.2"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</row>
    <row r="227" spans="3:15" x14ac:dyDescent="0.2"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</row>
    <row r="228" spans="3:15" x14ac:dyDescent="0.2"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</row>
    <row r="229" spans="3:15" x14ac:dyDescent="0.2"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</row>
    <row r="230" spans="3:15" x14ac:dyDescent="0.2"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</row>
    <row r="231" spans="3:15" x14ac:dyDescent="0.2"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</row>
    <row r="232" spans="3:15" x14ac:dyDescent="0.2"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</row>
    <row r="233" spans="3:15" x14ac:dyDescent="0.2"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</row>
    <row r="234" spans="3:15" x14ac:dyDescent="0.2"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</row>
    <row r="235" spans="3:15" x14ac:dyDescent="0.2"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</row>
    <row r="236" spans="3:15" x14ac:dyDescent="0.2"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</row>
    <row r="237" spans="3:15" x14ac:dyDescent="0.2"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</row>
    <row r="238" spans="3:15" x14ac:dyDescent="0.2"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</row>
    <row r="239" spans="3:15" x14ac:dyDescent="0.2"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</row>
    <row r="240" spans="3:15" x14ac:dyDescent="0.2"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</row>
    <row r="241" spans="3:15" x14ac:dyDescent="0.2"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</row>
    <row r="242" spans="3:15" x14ac:dyDescent="0.2"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</row>
    <row r="243" spans="3:15" x14ac:dyDescent="0.2"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</row>
    <row r="244" spans="3:15" x14ac:dyDescent="0.2"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</row>
  </sheetData>
  <mergeCells count="6">
    <mergeCell ref="A6:P6"/>
    <mergeCell ref="A1:P1"/>
    <mergeCell ref="A2:P2"/>
    <mergeCell ref="A3:P3"/>
    <mergeCell ref="A4:P4"/>
    <mergeCell ref="A5:P5"/>
  </mergeCells>
  <pageMargins left="0.5" right="0.5" top="0.5" bottom="0.5" header="0.5" footer="0.5"/>
  <pageSetup scale="5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OLESNIEWICZ, TIMOTHY</DisplayName>
        <AccountId>37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1928B-CCF3-499A-8F94-BF92B661C5D0}">
  <ds:schemaRefs>
    <ds:schemaRef ds:uri="http://schemas.microsoft.com/office/2006/metadata/properties"/>
    <ds:schemaRef ds:uri="http://schemas.microsoft.com/office/infopath/2007/PartnerControls"/>
    <ds:schemaRef ds:uri="d6173821-15ab-4046-99bd-4f2bcae59ef1"/>
    <ds:schemaRef ds:uri="b90289a3-f58c-4c6c-87a2-6adc48b0c901"/>
  </ds:schemaRefs>
</ds:datastoreItem>
</file>

<file path=customXml/itemProps2.xml><?xml version="1.0" encoding="utf-8"?>
<ds:datastoreItem xmlns:ds="http://schemas.openxmlformats.org/officeDocument/2006/customXml" ds:itemID="{4D4CAD92-F922-48D1-B44A-DC1F57CCE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64577-5FD0-441B-BAE5-4A06E8B05E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WS 1 - Wholesale Charges</vt:lpstr>
      <vt:lpstr>WS 2 - Wheeling Charges</vt:lpstr>
      <vt:lpstr>WS 3 - Retail Charges</vt:lpstr>
      <vt:lpstr>WS 4  - Peak Loads</vt:lpstr>
      <vt:lpstr>WS 5 - Sched, Sys Control, Disp</vt:lpstr>
      <vt:lpstr>WS 6 - Retail Conv Factors</vt:lpstr>
      <vt:lpstr>WS 7 - RNS Charges</vt:lpstr>
      <vt:lpstr>WS 8 - ISO Invoices</vt:lpstr>
      <vt:lpstr>WS 9 - Schedule 1 Revenues</vt:lpstr>
      <vt:lpstr>WS 10 - Rate Conversion</vt:lpstr>
      <vt:lpstr>WS 11 - Retail KWH Sales</vt:lpstr>
      <vt:lpstr>WS 12 True-up Interest -RNS Ch</vt:lpstr>
      <vt:lpstr>WS 13 True-up Interest -Sch1</vt:lpstr>
      <vt:lpstr>WS 14 - Retail Rates</vt:lpstr>
      <vt:lpstr>'WS 12 True-up Interest -RNS Ch'!Print_Area</vt:lpstr>
      <vt:lpstr>'WS 13 True-up Interest -Sch1'!Print_Area</vt:lpstr>
      <vt:lpstr>'WS 14 - Retail Rates'!Print_Area</vt:lpstr>
      <vt:lpstr>'WS 2 - Wheeling Charges'!Print_Area</vt:lpstr>
      <vt:lpstr>'WS 3 - Retail Charges'!Print_Area</vt:lpstr>
      <vt:lpstr>'WS 4  - Peak Loads'!Print_Area</vt:lpstr>
      <vt:lpstr>'WS 5 - Sched, Sys Control, Disp'!Print_Area</vt:lpstr>
      <vt:lpstr>'WS 6 - Retail Conv Factors'!Print_Area</vt:lpstr>
      <vt:lpstr>'WS 7 - RNS Charges'!Print_Area</vt:lpstr>
      <vt:lpstr>'WS 8 - ISO Invoices'!Print_Area</vt:lpstr>
      <vt:lpstr>'WS 9 - Schedule 1 Revenues'!Print_Area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2023-05-09T15:25:01Z</dcterms:created>
  <dcterms:modified xsi:type="dcterms:W3CDTF">2024-07-23T17:29:24Z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