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dcfas2\pracsys\26954-00005 (MPD OATT)\2021-05-03 MPD OATT Charges Update\2012-06-11 Revised Filing\"/>
    </mc:Choice>
  </mc:AlternateContent>
  <xr:revisionPtr revIDLastSave="0" documentId="13_ncr:1_{E3B1F47A-9196-4166-B2C7-92183F76998E}" xr6:coauthVersionLast="36" xr6:coauthVersionMax="44" xr10:uidLastSave="{00000000-0000-0000-0000-000000000000}"/>
  <bookViews>
    <workbookView xWindow="0" yWindow="0" windowWidth="28800" windowHeight="11235" tabRatio="88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EADIT Liability" sheetId="192" r:id="rId14"/>
    <sheet name="WP EADIT Amortization" sheetId="193" r:id="rId15"/>
    <sheet name="WP EADIT Allocators" sheetId="194" r:id="rId16"/>
    <sheet name="WP Unprotected EADIT Amort" sheetId="195" r:id="rId17"/>
    <sheet name="WP DTA(L) Detail" sheetId="197" r:id="rId18"/>
    <sheet name="WP Amortization Study Run Out" sheetId="201" r:id="rId19"/>
    <sheet name="WP LNS Allocator" sheetId="198" r:id="rId20"/>
    <sheet name="WP BHD EADIT" sheetId="202" r:id="rId21"/>
    <sheet name="WP MPD EADIT" sheetId="203" r:id="rId22"/>
    <sheet name="WP Customer Costs" sheetId="15" r:id="rId23"/>
    <sheet name="WP Retail June True-Up" sheetId="16" r:id="rId24"/>
    <sheet name="WP W'Sale Adjustments" sheetId="159" r:id="rId25"/>
    <sheet name="WP Retail Adjustments" sheetId="160" r:id="rId26"/>
    <sheet name="WP Transaction Costs" sheetId="166" r:id="rId27"/>
    <sheet name="WP Line 6901 Adjustments" sheetId="205" r:id="rId28"/>
  </sheets>
  <definedNames>
    <definedName name="_PP1" localSheetId="27">#REF!</definedName>
    <definedName name="_PP1">#REF!</definedName>
    <definedName name="Adjustment_Factor_for_Rev_Req" localSheetId="27">#REF!</definedName>
    <definedName name="Adjustment_Factor_for_Rev_Req">#REF!</definedName>
    <definedName name="AssetRange" localSheetId="27">#REF!</definedName>
    <definedName name="AssetRange">#REF!</definedName>
    <definedName name="BHEGEN" localSheetId="27">#REF!</definedName>
    <definedName name="BHEGEN">#REF!</definedName>
    <definedName name="BUDGETVSACTUAL" localSheetId="27">#REF!</definedName>
    <definedName name="BUDGETVSACTUAL">#REF!</definedName>
    <definedName name="Consumption" localSheetId="27">#REF!</definedName>
    <definedName name="Consumption">#REF!</definedName>
    <definedName name="dfdfdf" localSheetId="27">#REF!</definedName>
    <definedName name="dfdfdf">#REF!</definedName>
    <definedName name="Distribution_Rates" localSheetId="27">#REF!</definedName>
    <definedName name="Distribution_Rates">#REF!</definedName>
    <definedName name="Equity" localSheetId="27">#REF!</definedName>
    <definedName name="Equity">#REF!</definedName>
    <definedName name="FERC332" localSheetId="27">#REF!</definedName>
    <definedName name="FERC332">#REF!</definedName>
    <definedName name="FERC582" localSheetId="27">#REF!</definedName>
    <definedName name="FERC582">#REF!</definedName>
    <definedName name="FERCANNCHG" localSheetId="27">#REF!</definedName>
    <definedName name="FERCANNCHG">#REF!</definedName>
    <definedName name="FINAPR" localSheetId="27">#REF!</definedName>
    <definedName name="FINAPR">#REF!</definedName>
    <definedName name="FINAUG" localSheetId="27">#REF!</definedName>
    <definedName name="FINAUG">#REF!</definedName>
    <definedName name="FINDEC" localSheetId="27">#REF!</definedName>
    <definedName name="FINDEC">#REF!</definedName>
    <definedName name="FINFEB" localSheetId="27">#REF!</definedName>
    <definedName name="FINFEB">#REF!</definedName>
    <definedName name="FINJAN" localSheetId="27">#REF!</definedName>
    <definedName name="FINJAN">#REF!</definedName>
    <definedName name="FINJUL" localSheetId="27">#REF!</definedName>
    <definedName name="FINJUL">#REF!</definedName>
    <definedName name="FINJUN" localSheetId="27">#REF!</definedName>
    <definedName name="FINJUN">#REF!</definedName>
    <definedName name="FINMAR" localSheetId="27">#REF!</definedName>
    <definedName name="FINMAR">#REF!</definedName>
    <definedName name="FINMAY" localSheetId="27">#REF!</definedName>
    <definedName name="FINMAY">#REF!</definedName>
    <definedName name="FINNOV" localSheetId="27">#REF!</definedName>
    <definedName name="FINNOV">#REF!</definedName>
    <definedName name="FINOCT" localSheetId="27">#REF!</definedName>
    <definedName name="FINOCT">#REF!</definedName>
    <definedName name="FINSEP" localSheetId="27">#REF!</definedName>
    <definedName name="FINSEP">#REF!</definedName>
    <definedName name="FINYTD" localSheetId="27">#REF!</definedName>
    <definedName name="FINYTD">#REF!</definedName>
    <definedName name="FORM10KSUM" localSheetId="27">#REF!</definedName>
    <definedName name="FORM10KSUM">#REF!</definedName>
    <definedName name="FORM10KSUMDTL" localSheetId="27">#REF!</definedName>
    <definedName name="FORM10KSUMDTL">#REF!</definedName>
    <definedName name="FORM10KWTR" localSheetId="27">#REF!</definedName>
    <definedName name="FORM10KWTR">#REF!</definedName>
    <definedName name="FORM10KWTRDTL" localSheetId="27">#REF!</definedName>
    <definedName name="FORM10KWTRDTL">#REF!</definedName>
    <definedName name="INTEREST_EXPENSE" localSheetId="27">#REF!</definedName>
    <definedName name="INTEREST_EXPENSE">#REF!</definedName>
    <definedName name="Interest_Note" localSheetId="27">#REF!</definedName>
    <definedName name="Interest_Note">#REF!</definedName>
    <definedName name="Inventory_Note" localSheetId="27">#REF!</definedName>
    <definedName name="Inventory_Note">#REF!</definedName>
    <definedName name="ISOBALANCE" localSheetId="27">#REF!</definedName>
    <definedName name="ISOBALANCE">#REF!</definedName>
    <definedName name="ISORECON" localSheetId="27">#REF!</definedName>
    <definedName name="ISORECON">#REF!</definedName>
    <definedName name="ISOSUMMARY" localSheetId="27">#REF!</definedName>
    <definedName name="ISOSUMMARY">#REF!</definedName>
    <definedName name="ISOTARIFF" localSheetId="27">#REF!</definedName>
    <definedName name="ISOTARIFF">#REF!</definedName>
    <definedName name="LiabEquityRange" localSheetId="27">#REF!</definedName>
    <definedName name="LiabEquityRange">#REF!</definedName>
    <definedName name="List_Cases" localSheetId="27">OFFSET(#REF!,0,0,0,COUNTA(#REF!))</definedName>
    <definedName name="List_Cases">OFFSET(#REF!,0,0,0,COUNTA(#REF!))</definedName>
    <definedName name="MEPCOEquity" localSheetId="27">#REF!</definedName>
    <definedName name="MEPCOEquity">#REF!</definedName>
    <definedName name="MYEquity" localSheetId="27">#REF!</definedName>
    <definedName name="MYEquity">#REF!</definedName>
    <definedName name="MYMEPCOEquity" localSheetId="27">#REF!</definedName>
    <definedName name="MYMEPCOEquity">#REF!</definedName>
    <definedName name="Net_Income" localSheetId="27">#REF!</definedName>
    <definedName name="Net_Income">#REF!</definedName>
    <definedName name="NONCHG" localSheetId="27">#REF!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7">#REF!</definedName>
    <definedName name="ooi_SOCFInputsCurrMo">#REF!</definedName>
    <definedName name="ooi_SOCFInputsYTD" localSheetId="27">#REF!</definedName>
    <definedName name="ooi_SOCFInputsYTD">#REF!</definedName>
    <definedName name="oop_BalShtYOYLiab" localSheetId="27">#REF!</definedName>
    <definedName name="oop_BalShtYOYLiab">#REF!</definedName>
    <definedName name="oop_IncStmtYOY" localSheetId="27">#REF!</definedName>
    <definedName name="oop_IncStmtYOY">#REF!</definedName>
    <definedName name="OOP_is" localSheetId="27">#REF!</definedName>
    <definedName name="OOP_is">#REF!</definedName>
    <definedName name="OOP_IS_TB" localSheetId="27">#REF!</definedName>
    <definedName name="OOP_IS_TB">#REF!</definedName>
    <definedName name="oop_SOCFinputs" localSheetId="27">#REF!</definedName>
    <definedName name="oop_SOCFinputs">#REF!</definedName>
    <definedName name="OPENACCESS" localSheetId="27">#REF!</definedName>
    <definedName name="OPENACCESS">#REF!</definedName>
    <definedName name="OtherCurLiab_Note" localSheetId="27">#REF!</definedName>
    <definedName name="OtherCurLiab_Note">#REF!</definedName>
    <definedName name="OtherIncExp_Note" localSheetId="27">#REF!</definedName>
    <definedName name="OtherIncExp_Note">#REF!</definedName>
    <definedName name="PP_Estimates" localSheetId="27">#REF!</definedName>
    <definedName name="PP_Estimates">#REF!</definedName>
    <definedName name="_xlnm.Print_Area" localSheetId="10">'Exhibit 10'!$A$1:$F$16</definedName>
    <definedName name="_xlnm.Print_Area" localSheetId="0">'Exhibit 1a'!$A$1:$N$44</definedName>
    <definedName name="_xlnm.Print_Area" localSheetId="1">'Exhibit 1b'!$A$1:$J$48</definedName>
    <definedName name="_xlnm.Print_Area" localSheetId="2">'Exhibit 2'!$A$1:$E$43</definedName>
    <definedName name="_xlnm.Print_Area" localSheetId="3">'Exhibit 3'!$A:$L</definedName>
    <definedName name="_xlnm.Print_Area" localSheetId="4">'Exhibit 4'!$A$1:$Y$55</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BHD EADIT'!$A$1:$K$173</definedName>
    <definedName name="_xlnm.Print_Area" localSheetId="22">'WP Customer Costs'!$A$1:$E$18</definedName>
    <definedName name="_xlnm.Print_Area" localSheetId="13">'WP EADIT Liability'!$A$1:$Q$16</definedName>
    <definedName name="_xlnm.Print_Area" localSheetId="27">'WP Line 6901 Adjustments'!$A$1:$O$20</definedName>
    <definedName name="_xlnm.Print_Area" localSheetId="23">'WP Retail June True-Up'!$A$1:$J$48</definedName>
    <definedName name="_xlnm.Print_Area" localSheetId="26">'WP Transaction Costs'!$A$1:$J$38</definedName>
    <definedName name="_xlnm.Print_Area" localSheetId="24">'WP W''Sale Adjustments'!$A$1:$I$25</definedName>
    <definedName name="Print_Area_MI" localSheetId="27">#REF!</definedName>
    <definedName name="Print_Area_MI">#REF!</definedName>
    <definedName name="_xlnm.Print_Titles" localSheetId="17">'WP DTA(L) Detail'!$1:$11</definedName>
    <definedName name="_xlnm.Print_Titles" localSheetId="11">'WP FF1 Reconciliation'!$1:$11</definedName>
    <definedName name="_xlnm.Print_Titles">#N/A</definedName>
    <definedName name="PurPwrEstimates" localSheetId="27">#REF!</definedName>
    <definedName name="PurPwrEstimates">#REF!</definedName>
    <definedName name="QTD" localSheetId="27">#REF!</definedName>
    <definedName name="QTD">#REF!</definedName>
    <definedName name="RECONFINCHK" localSheetId="27">#REF!</definedName>
    <definedName name="RECONFINCHK">#REF!</definedName>
    <definedName name="Revenue" localSheetId="27">#REF!</definedName>
    <definedName name="Revenue">#REF!</definedName>
    <definedName name="RNS_Credits" localSheetId="27">#REF!</definedName>
    <definedName name="RNS_Credits">#REF!</definedName>
    <definedName name="ROGER" localSheetId="27">#REF!</definedName>
    <definedName name="ROGER">#REF!</definedName>
    <definedName name="Sales" localSheetId="27">#REF!</definedName>
    <definedName name="Sales">#REF!</definedName>
    <definedName name="SCHXDTL" localSheetId="27">#REF!</definedName>
    <definedName name="SCHXDTL">#REF!</definedName>
    <definedName name="SCHXII" localSheetId="27">#REF!</definedName>
    <definedName name="SCHXII">#REF!</definedName>
    <definedName name="STAT44" localSheetId="27">#REF!</definedName>
    <definedName name="STAT44">#REF!</definedName>
    <definedName name="STAT44DTL" localSheetId="27">#REF!</definedName>
    <definedName name="STAT44DTL">#REF!</definedName>
    <definedName name="STAT45" localSheetId="27">#REF!</definedName>
    <definedName name="STAT45">#REF!</definedName>
    <definedName name="STAT45DTL" localSheetId="27">#REF!</definedName>
    <definedName name="STAT45DTL">#REF!</definedName>
    <definedName name="TM1REBUILDOPTION">1</definedName>
    <definedName name="TOTALPG1" localSheetId="27">#REF!</definedName>
    <definedName name="TOTALPG1">#REF!</definedName>
    <definedName name="TOTALPG2" localSheetId="27">#REF!</definedName>
    <definedName name="TOTALPG2">#REF!</definedName>
    <definedName name="TOTALPG3" localSheetId="27">#REF!</definedName>
    <definedName name="TOTALPG3">#REF!</definedName>
    <definedName name="Transmission_Rates" localSheetId="27">#REF!</definedName>
    <definedName name="Transmission_Rates">#REF!</definedName>
    <definedName name="U3A2" localSheetId="27">#REF!</definedName>
    <definedName name="U3A2">#REF!</definedName>
    <definedName name="U3A2CHK" localSheetId="27">#REF!</definedName>
    <definedName name="U3A2CHK">#REF!</definedName>
    <definedName name="U3A2DTL" localSheetId="27">#REF!</definedName>
    <definedName name="U3A2DTL">#REF!</definedName>
  </definedNames>
  <calcPr calcId="191029"/>
</workbook>
</file>

<file path=xl/calcChain.xml><?xml version="1.0" encoding="utf-8"?>
<calcChain xmlns="http://schemas.openxmlformats.org/spreadsheetml/2006/main">
  <c r="F90" i="162" l="1"/>
  <c r="D30" i="7"/>
  <c r="A33" i="3" l="1"/>
  <c r="A34" i="3" s="1"/>
  <c r="A35" i="3" s="1"/>
  <c r="A36" i="3" s="1"/>
  <c r="A37" i="3" s="1"/>
  <c r="A38" i="3" s="1"/>
  <c r="A39" i="3" s="1"/>
  <c r="A40" i="3" s="1"/>
  <c r="A41" i="3" s="1"/>
  <c r="D30" i="8" l="1"/>
  <c r="D174" i="162"/>
  <c r="D106" i="162"/>
  <c r="E28" i="162"/>
  <c r="E17" i="162"/>
  <c r="P13" i="153"/>
  <c r="E16" i="162"/>
  <c r="D34" i="7"/>
  <c r="D17" i="162" l="1"/>
  <c r="C12" i="15"/>
  <c r="H43" i="5"/>
  <c r="G41" i="5"/>
  <c r="H22" i="5"/>
  <c r="G20" i="5"/>
  <c r="E58" i="162" l="1"/>
  <c r="D62" i="162"/>
  <c r="J13" i="153" l="1"/>
  <c r="O13" i="153"/>
  <c r="N13" i="153"/>
  <c r="M13" i="153"/>
  <c r="L13" i="153"/>
  <c r="K13" i="153"/>
  <c r="I13" i="153"/>
  <c r="H13" i="153"/>
  <c r="G13" i="153"/>
  <c r="F13" i="153"/>
  <c r="E13" i="153"/>
  <c r="D13" i="153"/>
  <c r="F58" i="162" l="1"/>
  <c r="F73" i="162" l="1"/>
  <c r="F75" i="162" s="1"/>
  <c r="C19" i="205" l="1"/>
  <c r="C10" i="205"/>
  <c r="D42" i="8" s="1"/>
  <c r="A4" i="205"/>
  <c r="A3" i="205"/>
  <c r="A2" i="205"/>
  <c r="A1" i="205"/>
  <c r="A2" i="166"/>
  <c r="A1" i="166"/>
  <c r="A2" i="160"/>
  <c r="A1" i="160"/>
  <c r="A2" i="159"/>
  <c r="A1" i="159"/>
  <c r="A2" i="16"/>
  <c r="A1" i="16"/>
  <c r="A2" i="15"/>
  <c r="A1" i="15"/>
  <c r="A2" i="203"/>
  <c r="A1" i="203"/>
  <c r="A2" i="202"/>
  <c r="A1" i="202"/>
  <c r="A2" i="198"/>
  <c r="A1" i="198"/>
  <c r="A2" i="201"/>
  <c r="A1" i="201"/>
  <c r="A2" i="197"/>
  <c r="A1" i="197"/>
  <c r="A2" i="195"/>
  <c r="A1" i="195"/>
  <c r="A2" i="194"/>
  <c r="A1" i="194"/>
  <c r="A2" i="193"/>
  <c r="A1" i="193"/>
  <c r="A2" i="192"/>
  <c r="A1" i="192"/>
  <c r="A2" i="151"/>
  <c r="A1" i="151"/>
  <c r="A2" i="162"/>
  <c r="A1" i="162"/>
  <c r="A2" i="13"/>
  <c r="A1" i="13"/>
  <c r="A2" i="11"/>
  <c r="A1" i="11"/>
  <c r="A2" i="10"/>
  <c r="A1" i="10"/>
  <c r="A2" i="9"/>
  <c r="A1" i="9"/>
  <c r="A2" i="8"/>
  <c r="A1" i="8"/>
  <c r="A2" i="7"/>
  <c r="A1" i="7"/>
  <c r="A2" i="153"/>
  <c r="A1" i="153"/>
  <c r="A2" i="5"/>
  <c r="A1" i="5"/>
  <c r="A2" i="4"/>
  <c r="A1" i="4"/>
  <c r="A2" i="3"/>
  <c r="A1" i="3"/>
  <c r="C26" i="193" l="1"/>
  <c r="C25" i="193" l="1"/>
  <c r="C27" i="193"/>
  <c r="C28" i="193" s="1"/>
  <c r="C29" i="193" s="1"/>
  <c r="C30" i="193" s="1"/>
  <c r="C31" i="193" s="1"/>
  <c r="C32" i="193" s="1"/>
  <c r="C33" i="193" s="1"/>
  <c r="C34" i="193" s="1"/>
  <c r="C35" i="193" s="1"/>
  <c r="C36" i="193" s="1"/>
  <c r="C37" i="193" s="1"/>
  <c r="D9" i="192"/>
  <c r="C9" i="192" l="1"/>
  <c r="E9" i="192"/>
  <c r="F9" i="192" s="1"/>
  <c r="G9" i="192" s="1"/>
  <c r="H9" i="192" s="1"/>
  <c r="I9" i="192" s="1"/>
  <c r="J9" i="192" s="1"/>
  <c r="K9" i="192" s="1"/>
  <c r="L9" i="192" s="1"/>
  <c r="M9" i="192" s="1"/>
  <c r="N9" i="192" s="1"/>
  <c r="O9" i="192" s="1"/>
  <c r="C12" i="205" l="1"/>
  <c r="Q60" i="151"/>
  <c r="E179" i="162"/>
  <c r="E183" i="162" s="1"/>
  <c r="D36" i="8" s="1"/>
  <c r="Q84" i="151"/>
  <c r="Q122" i="151"/>
  <c r="Q46" i="151"/>
  <c r="C11" i="192"/>
  <c r="C12" i="192"/>
  <c r="F32" i="202"/>
  <c r="I32" i="202" s="1"/>
  <c r="D14" i="202"/>
  <c r="E14" i="202"/>
  <c r="F56" i="202"/>
  <c r="I56" i="202" s="1"/>
  <c r="F68" i="202"/>
  <c r="I68" i="202" s="1"/>
  <c r="E83" i="202"/>
  <c r="F83" i="202" s="1"/>
  <c r="F105" i="202"/>
  <c r="I105" i="202" s="1"/>
  <c r="E107" i="202"/>
  <c r="F107" i="202" s="1"/>
  <c r="F117" i="202" s="1"/>
  <c r="I117" i="202" s="1"/>
  <c r="F130" i="202"/>
  <c r="I130" i="202" s="1"/>
  <c r="F166" i="202"/>
  <c r="I166" i="202" s="1"/>
  <c r="F32" i="203"/>
  <c r="I32" i="203" s="1"/>
  <c r="D14" i="203"/>
  <c r="E14" i="203"/>
  <c r="F56" i="203"/>
  <c r="I56" i="203" s="1"/>
  <c r="F68" i="203"/>
  <c r="I68" i="203" s="1"/>
  <c r="F81" i="203"/>
  <c r="I81" i="203" s="1"/>
  <c r="F93" i="203"/>
  <c r="I93" i="203" s="1"/>
  <c r="E95" i="203"/>
  <c r="F95" i="203" s="1"/>
  <c r="E96" i="203"/>
  <c r="F96" i="203" s="1"/>
  <c r="E97" i="203"/>
  <c r="F97" i="203" s="1"/>
  <c r="E98" i="203"/>
  <c r="F98" i="203" s="1"/>
  <c r="E99" i="203"/>
  <c r="F99" i="203" s="1"/>
  <c r="E100" i="203"/>
  <c r="F100" i="203" s="1"/>
  <c r="E101" i="203"/>
  <c r="F101" i="203" s="1"/>
  <c r="E102" i="203"/>
  <c r="F102" i="203" s="1"/>
  <c r="E103" i="203"/>
  <c r="F103" i="203" s="1"/>
  <c r="E104" i="203"/>
  <c r="F104" i="203" s="1"/>
  <c r="F117" i="203"/>
  <c r="I117" i="203" s="1"/>
  <c r="F130" i="203"/>
  <c r="I130" i="203" s="1"/>
  <c r="F166" i="203"/>
  <c r="I166" i="203" s="1"/>
  <c r="C11" i="198"/>
  <c r="E12" i="197"/>
  <c r="C19" i="198" s="1"/>
  <c r="E55" i="197"/>
  <c r="C23" i="198" s="1"/>
  <c r="E13" i="197"/>
  <c r="C21" i="198" s="1"/>
  <c r="E14" i="197"/>
  <c r="C22" i="198" s="1"/>
  <c r="D178" i="162"/>
  <c r="D182" i="162" s="1"/>
  <c r="D23" i="8" s="1"/>
  <c r="D179" i="162"/>
  <c r="D183" i="162" s="1"/>
  <c r="D24" i="8" s="1"/>
  <c r="S49" i="153"/>
  <c r="J19" i="7"/>
  <c r="G22" i="7"/>
  <c r="D23" i="9"/>
  <c r="D28" i="9"/>
  <c r="F22" i="159"/>
  <c r="G22" i="159"/>
  <c r="D12" i="13"/>
  <c r="E178" i="162"/>
  <c r="F22" i="160"/>
  <c r="G22" i="160"/>
  <c r="F62" i="162"/>
  <c r="F67" i="162"/>
  <c r="F51" i="162"/>
  <c r="F52" i="162"/>
  <c r="F53" i="162"/>
  <c r="F54" i="162"/>
  <c r="D55" i="162"/>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A4" i="166"/>
  <c r="A3" i="166"/>
  <c r="A4" i="160"/>
  <c r="A3" i="160"/>
  <c r="A4" i="159"/>
  <c r="A3" i="159"/>
  <c r="A4" i="16"/>
  <c r="A3" i="16"/>
  <c r="A4" i="15"/>
  <c r="A3" i="15"/>
  <c r="A4" i="203"/>
  <c r="A3" i="203"/>
  <c r="A4" i="202"/>
  <c r="A3" i="202"/>
  <c r="A4" i="198"/>
  <c r="A3" i="198"/>
  <c r="A4" i="201"/>
  <c r="A3" i="201"/>
  <c r="E127" i="197"/>
  <c r="E126" i="197"/>
  <c r="E125" i="197"/>
  <c r="E124" i="197"/>
  <c r="E123" i="197"/>
  <c r="E122" i="197"/>
  <c r="E121" i="197"/>
  <c r="E120" i="197"/>
  <c r="E119" i="197"/>
  <c r="E118" i="197"/>
  <c r="E117" i="197"/>
  <c r="E116" i="197"/>
  <c r="E115" i="197"/>
  <c r="E114" i="197"/>
  <c r="E113" i="197"/>
  <c r="E112" i="197"/>
  <c r="E111" i="197"/>
  <c r="E110" i="197"/>
  <c r="E109" i="197"/>
  <c r="E108" i="197"/>
  <c r="E107" i="197"/>
  <c r="E106" i="197"/>
  <c r="E105" i="197"/>
  <c r="E104" i="197"/>
  <c r="E103" i="197"/>
  <c r="E102" i="197"/>
  <c r="E101" i="197"/>
  <c r="E100" i="197"/>
  <c r="E99" i="197"/>
  <c r="E98" i="197"/>
  <c r="E97" i="197"/>
  <c r="E96" i="197"/>
  <c r="E95" i="197"/>
  <c r="E94" i="197"/>
  <c r="E93" i="197"/>
  <c r="E92" i="197"/>
  <c r="E91" i="197"/>
  <c r="E90" i="197"/>
  <c r="E89" i="197"/>
  <c r="E88" i="197"/>
  <c r="E87" i="197"/>
  <c r="E86" i="197"/>
  <c r="E85" i="197"/>
  <c r="E84" i="197"/>
  <c r="E83" i="197"/>
  <c r="E82" i="197"/>
  <c r="E81" i="197"/>
  <c r="E80" i="197"/>
  <c r="E79" i="197"/>
  <c r="E78" i="197"/>
  <c r="E77" i="197"/>
  <c r="E76" i="197"/>
  <c r="E75" i="197"/>
  <c r="E74" i="197"/>
  <c r="E73" i="197"/>
  <c r="E72" i="197"/>
  <c r="E71" i="197"/>
  <c r="E70" i="197"/>
  <c r="E69" i="197"/>
  <c r="E68" i="197"/>
  <c r="E67" i="197"/>
  <c r="E66" i="197"/>
  <c r="E65" i="197"/>
  <c r="E64" i="197"/>
  <c r="E63" i="197"/>
  <c r="E62" i="197"/>
  <c r="E61" i="197"/>
  <c r="E60" i="197"/>
  <c r="E59" i="197"/>
  <c r="E58" i="197"/>
  <c r="E57" i="197"/>
  <c r="E56" i="197"/>
  <c r="E54" i="197"/>
  <c r="E53" i="197"/>
  <c r="E52" i="197"/>
  <c r="E51" i="197"/>
  <c r="E50" i="197"/>
  <c r="E49" i="197"/>
  <c r="E48" i="197"/>
  <c r="E47" i="197"/>
  <c r="E46" i="197"/>
  <c r="E45" i="197"/>
  <c r="E44" i="197"/>
  <c r="E43" i="197"/>
  <c r="E42" i="197"/>
  <c r="E41" i="197"/>
  <c r="E40" i="197"/>
  <c r="E39" i="197"/>
  <c r="E38" i="197"/>
  <c r="E37" i="197"/>
  <c r="E36" i="197"/>
  <c r="E35" i="197"/>
  <c r="E34" i="197"/>
  <c r="E33" i="197"/>
  <c r="E32" i="197"/>
  <c r="E31" i="197"/>
  <c r="E30" i="197"/>
  <c r="E29" i="197"/>
  <c r="E28" i="197"/>
  <c r="E27" i="197"/>
  <c r="E26" i="197"/>
  <c r="E25" i="197"/>
  <c r="E24" i="197"/>
  <c r="E23" i="197"/>
  <c r="E22" i="197"/>
  <c r="E21" i="197"/>
  <c r="E20" i="197"/>
  <c r="E19" i="197"/>
  <c r="E18" i="197"/>
  <c r="E17" i="197"/>
  <c r="E16" i="197"/>
  <c r="E15" i="197"/>
  <c r="A4" i="197"/>
  <c r="A3" i="197"/>
  <c r="D12" i="195"/>
  <c r="D10" i="195"/>
  <c r="A4" i="195"/>
  <c r="A3" i="195"/>
  <c r="F17" i="194"/>
  <c r="F16" i="194"/>
  <c r="F12" i="194"/>
  <c r="F11" i="194"/>
  <c r="A4" i="194"/>
  <c r="A3" i="194"/>
  <c r="I12" i="193"/>
  <c r="E22" i="193" s="1"/>
  <c r="E26" i="193" s="1"/>
  <c r="D11" i="192" s="1"/>
  <c r="A4" i="193"/>
  <c r="A3" i="193"/>
  <c r="A4" i="192"/>
  <c r="A3" i="192"/>
  <c r="A4" i="151"/>
  <c r="A3" i="151"/>
  <c r="F179" i="162"/>
  <c r="D12" i="8" s="1"/>
  <c r="F178" i="162"/>
  <c r="D11" i="8" s="1"/>
  <c r="F175" i="162"/>
  <c r="F174" i="162"/>
  <c r="F152" i="162"/>
  <c r="E152" i="162"/>
  <c r="D152" i="162"/>
  <c r="F128" i="162"/>
  <c r="E128" i="162"/>
  <c r="D128" i="162"/>
  <c r="F101" i="162"/>
  <c r="F96" i="162"/>
  <c r="F83" i="162"/>
  <c r="F85" i="162" s="1"/>
  <c r="F78" i="162"/>
  <c r="F80" i="162" s="1"/>
  <c r="F71" i="162"/>
  <c r="D68" i="162"/>
  <c r="E68" i="162"/>
  <c r="D63" i="162"/>
  <c r="I55" i="162"/>
  <c r="F50" i="162"/>
  <c r="F49" i="162"/>
  <c r="F48" i="162"/>
  <c r="F47" i="162"/>
  <c r="F46" i="162"/>
  <c r="F45" i="162"/>
  <c r="F44" i="162"/>
  <c r="F43" i="162"/>
  <c r="F42" i="162"/>
  <c r="F41" i="162"/>
  <c r="F40" i="162"/>
  <c r="F39" i="162"/>
  <c r="F38" i="162"/>
  <c r="F37" i="162"/>
  <c r="F36" i="162"/>
  <c r="F34" i="162"/>
  <c r="F33" i="162"/>
  <c r="F31" i="162"/>
  <c r="F13" i="162"/>
  <c r="A4" i="162"/>
  <c r="A3" i="162"/>
  <c r="A4" i="13"/>
  <c r="A3" i="13"/>
  <c r="A4" i="11"/>
  <c r="A3" i="11"/>
  <c r="G24" i="10"/>
  <c r="A4" i="10"/>
  <c r="A3" i="10"/>
  <c r="A4" i="9"/>
  <c r="A3" i="9"/>
  <c r="A4" i="8"/>
  <c r="A3" i="8"/>
  <c r="A4" i="7"/>
  <c r="A3" i="7"/>
  <c r="A4" i="153"/>
  <c r="A3" i="153"/>
  <c r="A4" i="5"/>
  <c r="A3" i="5"/>
  <c r="A4" i="4"/>
  <c r="A3" i="4"/>
  <c r="E41" i="3"/>
  <c r="C41" i="3"/>
  <c r="A4" i="3"/>
  <c r="A3" i="3"/>
  <c r="F66" i="162"/>
  <c r="E133" i="203" l="1"/>
  <c r="F133" i="203" s="1"/>
  <c r="F18" i="194"/>
  <c r="E180" i="162"/>
  <c r="F68" i="162"/>
  <c r="F32" i="162"/>
  <c r="D13" i="195"/>
  <c r="D15" i="195" s="1"/>
  <c r="I13" i="193" s="1"/>
  <c r="E36" i="202"/>
  <c r="F36" i="202" s="1"/>
  <c r="C42" i="4"/>
  <c r="E144" i="202"/>
  <c r="F144" i="202" s="1"/>
  <c r="F154" i="202" s="1"/>
  <c r="I154" i="202" s="1"/>
  <c r="D180" i="162"/>
  <c r="H19" i="3"/>
  <c r="C13" i="192"/>
  <c r="E73" i="202"/>
  <c r="F73" i="202" s="1"/>
  <c r="F180" i="162"/>
  <c r="E38" i="202"/>
  <c r="F38" i="202" s="1"/>
  <c r="E37" i="202"/>
  <c r="F37" i="202" s="1"/>
  <c r="E128" i="197"/>
  <c r="E84" i="202"/>
  <c r="F84" i="202" s="1"/>
  <c r="F93" i="202" s="1"/>
  <c r="I93" i="202" s="1"/>
  <c r="E75" i="202"/>
  <c r="F75" i="202" s="1"/>
  <c r="C20" i="198"/>
  <c r="C24" i="198" s="1"/>
  <c r="C26" i="198" s="1"/>
  <c r="E79" i="202"/>
  <c r="F79" i="202" s="1"/>
  <c r="E72" i="202"/>
  <c r="F72" i="202" s="1"/>
  <c r="E35" i="202"/>
  <c r="F35" i="202" s="1"/>
  <c r="E78" i="202"/>
  <c r="F78" i="202" s="1"/>
  <c r="E71" i="202"/>
  <c r="F71" i="202" s="1"/>
  <c r="E27" i="193"/>
  <c r="E28" i="193" s="1"/>
  <c r="E29" i="193" s="1"/>
  <c r="E30" i="193" s="1"/>
  <c r="E77" i="202"/>
  <c r="F77" i="202" s="1"/>
  <c r="E34" i="202"/>
  <c r="F34" i="202" s="1"/>
  <c r="F13" i="194"/>
  <c r="E76" i="202"/>
  <c r="F76" i="202" s="1"/>
  <c r="E182" i="162"/>
  <c r="D35" i="8" s="1"/>
  <c r="F103" i="162"/>
  <c r="E132" i="202"/>
  <c r="F132" i="202" s="1"/>
  <c r="F142" i="202" s="1"/>
  <c r="I142" i="202" s="1"/>
  <c r="E74" i="202"/>
  <c r="F74" i="202" s="1"/>
  <c r="D25" i="8"/>
  <c r="D26" i="8" s="1"/>
  <c r="D184" i="162"/>
  <c r="F105" i="203"/>
  <c r="I105" i="203" s="1"/>
  <c r="D54" i="8"/>
  <c r="E35" i="203"/>
  <c r="F35" i="203" s="1"/>
  <c r="E144" i="203"/>
  <c r="F144" i="203" s="1"/>
  <c r="F154" i="203" s="1"/>
  <c r="I154" i="203" s="1"/>
  <c r="E36" i="203"/>
  <c r="F36" i="203" s="1"/>
  <c r="E132" i="203"/>
  <c r="F132" i="203" s="1"/>
  <c r="E37" i="203"/>
  <c r="F37" i="203" s="1"/>
  <c r="E34" i="203"/>
  <c r="F34" i="203" s="1"/>
  <c r="F142" i="203" l="1"/>
  <c r="I142" i="203" s="1"/>
  <c r="I14" i="193"/>
  <c r="F22" i="193"/>
  <c r="F26" i="193" s="1"/>
  <c r="F11" i="192"/>
  <c r="F81" i="202"/>
  <c r="I81" i="202" s="1"/>
  <c r="F44" i="202"/>
  <c r="I44" i="202" s="1"/>
  <c r="G11" i="192"/>
  <c r="E11" i="192"/>
  <c r="E184" i="162"/>
  <c r="E31" i="193"/>
  <c r="H11" i="192"/>
  <c r="F44" i="203"/>
  <c r="I44" i="203" s="1"/>
  <c r="I168" i="203" s="1"/>
  <c r="C14" i="198" s="1"/>
  <c r="D27" i="8"/>
  <c r="I168" i="202" l="1"/>
  <c r="C13" i="198" s="1"/>
  <c r="C15" i="198" s="1"/>
  <c r="C27" i="198" s="1"/>
  <c r="C28" i="198" s="1"/>
  <c r="C30" i="198" s="1"/>
  <c r="D12" i="192"/>
  <c r="D13" i="192" s="1"/>
  <c r="F27" i="193"/>
  <c r="D37" i="8"/>
  <c r="D39" i="8" s="1"/>
  <c r="C14" i="15" s="1"/>
  <c r="I11" i="192"/>
  <c r="E32" i="193"/>
  <c r="E12" i="192" l="1"/>
  <c r="E13" i="192" s="1"/>
  <c r="F28" i="193"/>
  <c r="D38" i="8"/>
  <c r="J11" i="192"/>
  <c r="E33" i="193"/>
  <c r="C15" i="192"/>
  <c r="I15" i="193"/>
  <c r="I16" i="193" s="1"/>
  <c r="D18" i="7" s="1"/>
  <c r="F12" i="192" l="1"/>
  <c r="F13" i="192" s="1"/>
  <c r="F16" i="192" s="1"/>
  <c r="G36" i="153" s="1"/>
  <c r="F29" i="193"/>
  <c r="C16" i="192"/>
  <c r="D36" i="153" s="1"/>
  <c r="D16" i="192"/>
  <c r="E36" i="153" s="1"/>
  <c r="E16" i="192"/>
  <c r="F36" i="153" s="1"/>
  <c r="E34" i="193"/>
  <c r="K11" i="192"/>
  <c r="G12" i="192" l="1"/>
  <c r="G13" i="192" s="1"/>
  <c r="G16" i="192" s="1"/>
  <c r="H36" i="153" s="1"/>
  <c r="F30" i="193"/>
  <c r="L11" i="192"/>
  <c r="E35" i="193"/>
  <c r="H12" i="192" l="1"/>
  <c r="H13" i="192" s="1"/>
  <c r="H16" i="192" s="1"/>
  <c r="I36" i="153" s="1"/>
  <c r="F31" i="193"/>
  <c r="E36" i="193"/>
  <c r="M11" i="192"/>
  <c r="F32" i="193" l="1"/>
  <c r="I12" i="192"/>
  <c r="I13" i="192" s="1"/>
  <c r="I16" i="192" s="1"/>
  <c r="J36" i="153" s="1"/>
  <c r="E37" i="193"/>
  <c r="O11" i="192" s="1"/>
  <c r="N11" i="192"/>
  <c r="F33" i="193" l="1"/>
  <c r="J12" i="192"/>
  <c r="J13" i="192" s="1"/>
  <c r="J16" i="192" s="1"/>
  <c r="K36" i="153" s="1"/>
  <c r="F34" i="193" l="1"/>
  <c r="K12" i="192"/>
  <c r="K13" i="192" s="1"/>
  <c r="K16" i="192" s="1"/>
  <c r="L36" i="153" s="1"/>
  <c r="L12" i="192" l="1"/>
  <c r="L13" i="192" s="1"/>
  <c r="L16" i="192" s="1"/>
  <c r="M36" i="153" s="1"/>
  <c r="F35" i="193"/>
  <c r="F36" i="193" l="1"/>
  <c r="M12" i="192"/>
  <c r="M13" i="192" s="1"/>
  <c r="M16" i="192" s="1"/>
  <c r="N36" i="153" s="1"/>
  <c r="G18" i="7"/>
  <c r="J18" i="7" s="1"/>
  <c r="J20" i="7" s="1"/>
  <c r="C35" i="4" s="1"/>
  <c r="N12" i="192" l="1"/>
  <c r="N13" i="192" s="1"/>
  <c r="N16" i="192" s="1"/>
  <c r="O36" i="153" s="1"/>
  <c r="F37" i="193"/>
  <c r="O12" i="192" s="1"/>
  <c r="O13" i="192" s="1"/>
  <c r="O16" i="192" s="1"/>
  <c r="P36" i="153" s="1"/>
  <c r="Q36" i="153" l="1"/>
  <c r="T36" i="153" s="1"/>
  <c r="W36" i="153" s="1"/>
  <c r="Q90" i="151" l="1"/>
  <c r="Q101" i="151"/>
  <c r="Q24" i="151"/>
  <c r="Q34" i="151" s="1"/>
  <c r="H18" i="3" l="1"/>
  <c r="G40" i="7"/>
  <c r="J40" i="7" s="1"/>
  <c r="G42" i="7"/>
  <c r="G41" i="7"/>
  <c r="J41" i="7" s="1"/>
  <c r="G39" i="7"/>
  <c r="J39" i="7" s="1"/>
  <c r="G29" i="7"/>
  <c r="J29" i="7" s="1"/>
  <c r="C15" i="166"/>
  <c r="P11" i="153" s="1"/>
  <c r="G43" i="7"/>
  <c r="O11" i="153" l="1"/>
  <c r="G11" i="153"/>
  <c r="N11" i="153"/>
  <c r="F11" i="153"/>
  <c r="M11" i="153"/>
  <c r="E11" i="153"/>
  <c r="K11" i="153"/>
  <c r="J11" i="153"/>
  <c r="I11" i="153"/>
  <c r="H11" i="153"/>
  <c r="L11" i="153"/>
  <c r="D11" i="153"/>
  <c r="D61" i="8"/>
  <c r="V37" i="153" s="1"/>
  <c r="I16" i="5"/>
  <c r="H20" i="5"/>
  <c r="H46" i="5"/>
  <c r="I33" i="5"/>
  <c r="J37" i="5" s="1"/>
  <c r="H25" i="5"/>
  <c r="C15" i="15"/>
  <c r="D15" i="166"/>
  <c r="C25" i="166" s="1"/>
  <c r="D23" i="153" s="1"/>
  <c r="G15" i="166"/>
  <c r="H18" i="10"/>
  <c r="F20" i="16"/>
  <c r="H20" i="16" s="1"/>
  <c r="H19" i="10"/>
  <c r="F20" i="166"/>
  <c r="F89" i="162"/>
  <c r="F18" i="16"/>
  <c r="D55" i="8"/>
  <c r="F17" i="16"/>
  <c r="F15" i="166"/>
  <c r="F17" i="162"/>
  <c r="F14" i="162"/>
  <c r="F88" i="162"/>
  <c r="F15" i="162"/>
  <c r="F15" i="16"/>
  <c r="H15" i="16" s="1"/>
  <c r="D25" i="166"/>
  <c r="D24" i="153" s="1"/>
  <c r="F25" i="166" l="1"/>
  <c r="V25" i="153"/>
  <c r="F91" i="162"/>
  <c r="V35" i="153"/>
  <c r="S22" i="151"/>
  <c r="I13" i="7"/>
  <c r="I26" i="7"/>
  <c r="V34" i="153"/>
  <c r="I34" i="7"/>
  <c r="I14" i="7"/>
  <c r="V24" i="153"/>
  <c r="S60" i="151"/>
  <c r="T60" i="151" s="1"/>
  <c r="V15" i="153"/>
  <c r="S98" i="151"/>
  <c r="I42" i="7"/>
  <c r="J42" i="7" s="1"/>
  <c r="I36" i="7"/>
  <c r="V13" i="153"/>
  <c r="I35" i="7"/>
  <c r="I37" i="7"/>
  <c r="I43" i="7"/>
  <c r="J43" i="7" s="1"/>
  <c r="V40" i="153"/>
  <c r="V17" i="153"/>
  <c r="H15" i="10"/>
  <c r="I20" i="5"/>
  <c r="J29" i="5" s="1"/>
  <c r="Q65" i="151"/>
  <c r="H19" i="166"/>
  <c r="D20" i="166"/>
  <c r="E25" i="166" s="1"/>
  <c r="G20" i="166"/>
  <c r="F37" i="166" s="1"/>
  <c r="P62" i="151" s="1"/>
  <c r="D31" i="8"/>
  <c r="D32" i="8" s="1"/>
  <c r="H14" i="10"/>
  <c r="C20" i="166"/>
  <c r="P15" i="153" s="1"/>
  <c r="F14" i="16"/>
  <c r="H14" i="16" s="1"/>
  <c r="H17" i="16"/>
  <c r="Q13" i="151"/>
  <c r="G46" i="5"/>
  <c r="I46" i="5" s="1"/>
  <c r="I27" i="5" s="1"/>
  <c r="I35" i="5" s="1"/>
  <c r="J36" i="5" s="1"/>
  <c r="J38" i="5" s="1"/>
  <c r="H16" i="10"/>
  <c r="Q67" i="151"/>
  <c r="Q11" i="153"/>
  <c r="T11" i="153" s="1"/>
  <c r="W11" i="153" s="1"/>
  <c r="F19" i="16"/>
  <c r="H19" i="16" s="1"/>
  <c r="Q100" i="151"/>
  <c r="Q110" i="151" s="1"/>
  <c r="Q12" i="151"/>
  <c r="Q89" i="151"/>
  <c r="E36" i="16"/>
  <c r="E37" i="16" s="1"/>
  <c r="E38" i="16" s="1"/>
  <c r="E39" i="16" s="1"/>
  <c r="E40" i="16" s="1"/>
  <c r="E29" i="16"/>
  <c r="E30" i="16" s="1"/>
  <c r="E31" i="16" s="1"/>
  <c r="E32" i="16" s="1"/>
  <c r="E33" i="16" s="1"/>
  <c r="E34" i="16" s="1"/>
  <c r="E35" i="16" s="1"/>
  <c r="F21" i="16"/>
  <c r="H21" i="16" s="1"/>
  <c r="H18" i="16"/>
  <c r="F16" i="16"/>
  <c r="H16" i="16" s="1"/>
  <c r="F22" i="16"/>
  <c r="H22" i="16" s="1"/>
  <c r="Q64" i="151"/>
  <c r="D37" i="166"/>
  <c r="P24" i="153" s="1"/>
  <c r="H22" i="166"/>
  <c r="Q66" i="151"/>
  <c r="F61" i="162"/>
  <c r="E63" i="162"/>
  <c r="F63" i="162" s="1"/>
  <c r="Q34" i="153"/>
  <c r="T34" i="153" s="1"/>
  <c r="Q63" i="151"/>
  <c r="H17" i="10"/>
  <c r="H12" i="10"/>
  <c r="Q44" i="153"/>
  <c r="Q35" i="153"/>
  <c r="T35" i="153" s="1"/>
  <c r="Q17" i="153"/>
  <c r="T17" i="153" s="1"/>
  <c r="H21" i="10"/>
  <c r="H20" i="10"/>
  <c r="E20" i="166"/>
  <c r="E37" i="166" s="1"/>
  <c r="P25" i="153" s="1"/>
  <c r="H18" i="166"/>
  <c r="Q14" i="151"/>
  <c r="Q37" i="153"/>
  <c r="T37" i="153" s="1"/>
  <c r="W37" i="153" s="1"/>
  <c r="D24" i="10"/>
  <c r="Q15" i="151"/>
  <c r="H13" i="10"/>
  <c r="C24" i="10"/>
  <c r="D13" i="8"/>
  <c r="D15" i="8" s="1"/>
  <c r="D21" i="8" s="1"/>
  <c r="E55" i="162"/>
  <c r="F55" i="162" s="1"/>
  <c r="F35" i="162"/>
  <c r="H22" i="10"/>
  <c r="H11" i="10"/>
  <c r="E15" i="166"/>
  <c r="C37" i="166" s="1"/>
  <c r="P23" i="153" s="1"/>
  <c r="H14" i="166"/>
  <c r="H15" i="166" s="1"/>
  <c r="S46" i="151"/>
  <c r="T46" i="151" s="1"/>
  <c r="C17" i="15"/>
  <c r="C18" i="15" s="1"/>
  <c r="H15" i="3" s="1"/>
  <c r="S84" i="151"/>
  <c r="T84" i="151" s="1"/>
  <c r="S122" i="151"/>
  <c r="T122" i="151" s="1"/>
  <c r="E24" i="10"/>
  <c r="F24" i="10"/>
  <c r="D18" i="9"/>
  <c r="D30" i="9" s="1"/>
  <c r="C41" i="4" s="1"/>
  <c r="Q88" i="151"/>
  <c r="D50" i="8"/>
  <c r="F18" i="162"/>
  <c r="F20" i="162"/>
  <c r="F19" i="162"/>
  <c r="F23" i="162"/>
  <c r="F16" i="162"/>
  <c r="Q20" i="153"/>
  <c r="T20" i="153" s="1"/>
  <c r="W20" i="153" s="1"/>
  <c r="C15" i="4" s="1"/>
  <c r="W17" i="153" l="1"/>
  <c r="C25" i="4" s="1"/>
  <c r="D33" i="8"/>
  <c r="C12" i="4"/>
  <c r="H20" i="166"/>
  <c r="D14" i="7" s="1"/>
  <c r="G14" i="7" s="1"/>
  <c r="J14" i="7" s="1"/>
  <c r="D25" i="153"/>
  <c r="E26" i="166"/>
  <c r="E27" i="166" s="1"/>
  <c r="E28" i="166" s="1"/>
  <c r="E29" i="166" s="1"/>
  <c r="E30" i="166" s="1"/>
  <c r="E31" i="166" s="1"/>
  <c r="E32" i="166" s="1"/>
  <c r="E33" i="166" s="1"/>
  <c r="E34" i="166" s="1"/>
  <c r="E35" i="166" s="1"/>
  <c r="E36" i="166" s="1"/>
  <c r="J28" i="5"/>
  <c r="J30" i="5" s="1"/>
  <c r="W34" i="153"/>
  <c r="D12" i="7"/>
  <c r="G12" i="7" s="1"/>
  <c r="J12" i="7" s="1"/>
  <c r="D13" i="7"/>
  <c r="G13" i="7" s="1"/>
  <c r="J13" i="7" s="1"/>
  <c r="F26" i="166"/>
  <c r="D62" i="151"/>
  <c r="W35" i="153"/>
  <c r="M15" i="153"/>
  <c r="E15" i="153"/>
  <c r="L15" i="153"/>
  <c r="D15" i="153"/>
  <c r="K15" i="153"/>
  <c r="J15" i="153"/>
  <c r="I15" i="153"/>
  <c r="H15" i="153"/>
  <c r="O15" i="153"/>
  <c r="G15" i="153"/>
  <c r="N15" i="153"/>
  <c r="F15" i="153"/>
  <c r="E26" i="10"/>
  <c r="Q68" i="151"/>
  <c r="F26" i="10"/>
  <c r="D26" i="166"/>
  <c r="E24" i="153" s="1"/>
  <c r="D48" i="8"/>
  <c r="Q98" i="151"/>
  <c r="T98" i="151" s="1"/>
  <c r="D26" i="10"/>
  <c r="Q43" i="153"/>
  <c r="D18" i="8"/>
  <c r="F26" i="7" s="1"/>
  <c r="G26" i="7" s="1"/>
  <c r="J26" i="7" s="1"/>
  <c r="C38" i="4" s="1"/>
  <c r="D14" i="8"/>
  <c r="D20" i="8" s="1"/>
  <c r="I48" i="5"/>
  <c r="J49" i="5" s="1"/>
  <c r="J51" i="5" s="1"/>
  <c r="Q71" i="151"/>
  <c r="E25" i="153"/>
  <c r="Q22" i="151"/>
  <c r="T22" i="151" s="1"/>
  <c r="H23" i="16"/>
  <c r="F29" i="16" s="1"/>
  <c r="H29" i="16" s="1"/>
  <c r="Q70" i="151"/>
  <c r="Q69" i="151"/>
  <c r="G15" i="2"/>
  <c r="G26" i="10"/>
  <c r="D43" i="8"/>
  <c r="C26" i="166"/>
  <c r="E23" i="153" s="1"/>
  <c r="H24" i="10"/>
  <c r="H26" i="10" s="1"/>
  <c r="H12" i="3" s="1"/>
  <c r="Q40" i="153"/>
  <c r="Q13" i="153"/>
  <c r="T13" i="153" s="1"/>
  <c r="W13" i="153" s="1"/>
  <c r="G37" i="7"/>
  <c r="J37" i="7" s="1"/>
  <c r="F35" i="7"/>
  <c r="G35" i="7" s="1"/>
  <c r="J35" i="7" s="1"/>
  <c r="F34" i="7"/>
  <c r="G34" i="7" s="1"/>
  <c r="J34" i="7" s="1"/>
  <c r="F36" i="7"/>
  <c r="G36" i="7" s="1"/>
  <c r="J36" i="7" s="1"/>
  <c r="F26" i="162"/>
  <c r="F27" i="162"/>
  <c r="D27" i="166" l="1"/>
  <c r="F24" i="153" s="1"/>
  <c r="W38" i="153"/>
  <c r="C26" i="4" s="1"/>
  <c r="J15" i="7"/>
  <c r="C34" i="4" s="1"/>
  <c r="F25" i="153"/>
  <c r="Q15" i="153"/>
  <c r="T15" i="153" s="1"/>
  <c r="W15" i="153" s="1"/>
  <c r="F27" i="166"/>
  <c r="E62" i="151"/>
  <c r="J10" i="5"/>
  <c r="D17" i="8"/>
  <c r="J67" i="5"/>
  <c r="J57" i="5"/>
  <c r="F30" i="16"/>
  <c r="D45" i="8"/>
  <c r="D44" i="8"/>
  <c r="C13" i="4"/>
  <c r="H17" i="3"/>
  <c r="G25" i="2"/>
  <c r="G30" i="2" s="1"/>
  <c r="G35" i="2" s="1"/>
  <c r="G20" i="2"/>
  <c r="H21" i="2" s="1"/>
  <c r="G25" i="153"/>
  <c r="C27" i="166"/>
  <c r="F23" i="153" s="1"/>
  <c r="F28" i="162"/>
  <c r="D28" i="166" l="1"/>
  <c r="G24" i="153" s="1"/>
  <c r="C14" i="4"/>
  <c r="C16" i="4" s="1"/>
  <c r="W18" i="153"/>
  <c r="D49" i="8"/>
  <c r="D51" i="8" s="1"/>
  <c r="S34" i="151" s="1"/>
  <c r="T34" i="151" s="1"/>
  <c r="T47" i="151" s="1"/>
  <c r="W30" i="153" s="1"/>
  <c r="F62" i="151"/>
  <c r="F28" i="166"/>
  <c r="F31" i="16"/>
  <c r="H30" i="16"/>
  <c r="H25" i="153"/>
  <c r="I21" i="2"/>
  <c r="J21" i="2"/>
  <c r="K21" i="2" s="1"/>
  <c r="L21" i="2" s="1"/>
  <c r="C28" i="166"/>
  <c r="G23" i="153" s="1"/>
  <c r="F38" i="7"/>
  <c r="G38" i="7" s="1"/>
  <c r="S43" i="153"/>
  <c r="T43" i="153" s="1"/>
  <c r="W43" i="153" s="1"/>
  <c r="F24" i="7"/>
  <c r="G24" i="7" s="1"/>
  <c r="S44" i="153"/>
  <c r="T44" i="153" s="1"/>
  <c r="S40" i="153"/>
  <c r="T40" i="153" s="1"/>
  <c r="W40" i="153" s="1"/>
  <c r="C29" i="4" s="1"/>
  <c r="D29" i="166"/>
  <c r="H24" i="153" s="1"/>
  <c r="V44" i="153" l="1"/>
  <c r="I24" i="7"/>
  <c r="J24" i="7" s="1"/>
  <c r="C37" i="4" s="1"/>
  <c r="I22" i="7"/>
  <c r="J22" i="7" s="1"/>
  <c r="C36" i="4" s="1"/>
  <c r="I38" i="7"/>
  <c r="J38" i="7" s="1"/>
  <c r="J44" i="7" s="1"/>
  <c r="Q49" i="153" s="1"/>
  <c r="T49" i="153" s="1"/>
  <c r="W49" i="153" s="1"/>
  <c r="S72" i="151"/>
  <c r="S110" i="151"/>
  <c r="T110" i="151" s="1"/>
  <c r="T123" i="151" s="1"/>
  <c r="G62" i="151"/>
  <c r="F29" i="166"/>
  <c r="W44" i="153"/>
  <c r="F32" i="16"/>
  <c r="H31" i="16"/>
  <c r="C29" i="166"/>
  <c r="H23" i="153" s="1"/>
  <c r="D30" i="166"/>
  <c r="I24" i="153" s="1"/>
  <c r="I25" i="153"/>
  <c r="W45" i="153" l="1"/>
  <c r="H62" i="151"/>
  <c r="F30" i="166"/>
  <c r="C40" i="4"/>
  <c r="H32" i="16"/>
  <c r="F33" i="16" s="1"/>
  <c r="C30" i="166"/>
  <c r="I23" i="153" s="1"/>
  <c r="J25" i="153"/>
  <c r="D31" i="166"/>
  <c r="J24" i="153" s="1"/>
  <c r="C28" i="4" l="1"/>
  <c r="I62" i="151"/>
  <c r="F31" i="166"/>
  <c r="F34" i="16"/>
  <c r="H33" i="16"/>
  <c r="D32" i="166"/>
  <c r="K24" i="153" s="1"/>
  <c r="K25" i="153"/>
  <c r="C31" i="166"/>
  <c r="J23" i="153" s="1"/>
  <c r="J62" i="151" l="1"/>
  <c r="F32" i="166"/>
  <c r="F35" i="16"/>
  <c r="H35" i="16" s="1"/>
  <c r="H34" i="16"/>
  <c r="C32" i="166"/>
  <c r="K23" i="153" s="1"/>
  <c r="L25" i="153"/>
  <c r="D33" i="166"/>
  <c r="L24" i="153" s="1"/>
  <c r="K62" i="151" l="1"/>
  <c r="F33" i="166"/>
  <c r="F36" i="16"/>
  <c r="F37" i="16" s="1"/>
  <c r="D34" i="166"/>
  <c r="M24" i="153" s="1"/>
  <c r="M25" i="153"/>
  <c r="C33" i="166"/>
  <c r="L23" i="153" s="1"/>
  <c r="L62" i="151" l="1"/>
  <c r="F34" i="166"/>
  <c r="H36" i="16"/>
  <c r="F38" i="16"/>
  <c r="H38" i="16" s="1"/>
  <c r="H37" i="16"/>
  <c r="C34" i="166"/>
  <c r="M23" i="153" s="1"/>
  <c r="N25" i="153"/>
  <c r="D35" i="166"/>
  <c r="N24" i="153" s="1"/>
  <c r="M62" i="151" l="1"/>
  <c r="F35" i="166"/>
  <c r="F39" i="16"/>
  <c r="D36" i="166"/>
  <c r="O24" i="153" s="1"/>
  <c r="O25" i="153"/>
  <c r="C35" i="166"/>
  <c r="N23" i="153" s="1"/>
  <c r="N62" i="151" l="1"/>
  <c r="F36" i="166"/>
  <c r="O62" i="151" s="1"/>
  <c r="Q25" i="153"/>
  <c r="T25" i="153" s="1"/>
  <c r="W25" i="153" s="1"/>
  <c r="Q24" i="153"/>
  <c r="T24" i="153" s="1"/>
  <c r="W24" i="153" s="1"/>
  <c r="C20" i="4" s="1"/>
  <c r="F40" i="16"/>
  <c r="H40" i="16" s="1"/>
  <c r="H39" i="16"/>
  <c r="C36" i="166"/>
  <c r="C21" i="4" l="1"/>
  <c r="Q62" i="151"/>
  <c r="Q72" i="151" s="1"/>
  <c r="T72" i="151" s="1"/>
  <c r="T85" i="151" s="1"/>
  <c r="W29" i="153" s="1"/>
  <c r="O23" i="153"/>
  <c r="Q23" i="153" s="1"/>
  <c r="T23" i="153" s="1"/>
  <c r="W23" i="153" s="1"/>
  <c r="W26" i="153" s="1"/>
  <c r="H41" i="16"/>
  <c r="H43" i="16" s="1"/>
  <c r="H22" i="3" s="1"/>
  <c r="W31" i="153" l="1"/>
  <c r="C19" i="4"/>
  <c r="C22" i="4" s="1"/>
  <c r="C24" i="4" l="1"/>
  <c r="G30" i="7"/>
  <c r="J30" i="7" s="1"/>
  <c r="J31" i="7" s="1"/>
  <c r="D13" i="13"/>
  <c r="H16" i="3" s="1"/>
  <c r="Q48" i="153" l="1"/>
  <c r="T48" i="153" s="1"/>
  <c r="W48" i="153" s="1"/>
  <c r="W50" i="153" s="1"/>
  <c r="C39" i="4"/>
  <c r="G14" i="2"/>
  <c r="H16" i="2" s="1"/>
  <c r="I16" i="2" l="1"/>
  <c r="J16" i="2"/>
  <c r="K16" i="2" s="1"/>
  <c r="L16" i="2" s="1"/>
  <c r="W52" i="153"/>
  <c r="C27" i="4"/>
  <c r="C30" i="4" s="1"/>
  <c r="H70" i="5" l="1"/>
  <c r="H60" i="5"/>
  <c r="J61" i="5" s="1"/>
  <c r="J11" i="5" l="1"/>
  <c r="J71" i="5"/>
  <c r="J72" i="5" s="1"/>
  <c r="J12" i="5" s="1"/>
  <c r="J13" i="5" l="1"/>
  <c r="C31" i="4" s="1"/>
  <c r="C33" i="4" s="1"/>
  <c r="C43" i="4" s="1"/>
  <c r="G24" i="2" l="1"/>
  <c r="H26" i="2" s="1"/>
  <c r="G34" i="2"/>
  <c r="H36" i="2" s="1"/>
  <c r="H11" i="3"/>
  <c r="H13" i="3" s="1"/>
  <c r="H20" i="3" s="1"/>
  <c r="H23" i="3" s="1"/>
  <c r="G29" i="2"/>
  <c r="H31" i="2" s="1"/>
  <c r="J31" i="2" l="1"/>
  <c r="K31" i="2" s="1"/>
  <c r="L31" i="2" s="1"/>
  <c r="I31" i="2"/>
  <c r="I36" i="2"/>
  <c r="J36" i="2"/>
  <c r="K36" i="2" s="1"/>
  <c r="L36" i="2" s="1"/>
  <c r="F40" i="3"/>
  <c r="G40" i="3" s="1"/>
  <c r="F36" i="3"/>
  <c r="H36" i="3" s="1"/>
  <c r="F32" i="3"/>
  <c r="F35" i="3"/>
  <c r="H35" i="3" s="1"/>
  <c r="F34" i="3"/>
  <c r="H34" i="3" s="1"/>
  <c r="F33" i="3"/>
  <c r="G33" i="3" s="1"/>
  <c r="F37" i="3"/>
  <c r="H37" i="3" s="1"/>
  <c r="F38" i="3"/>
  <c r="H38" i="3" s="1"/>
  <c r="F39" i="3"/>
  <c r="H39" i="3" s="1"/>
  <c r="I26" i="2"/>
  <c r="J26" i="2"/>
  <c r="K26" i="2" s="1"/>
  <c r="L26" i="2" s="1"/>
  <c r="F41" i="3" l="1"/>
  <c r="G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C19" authorId="0" shapeId="0" xr:uid="{AAB4B8C5-3A19-42D6-AC18-CDAFEE966A48}">
      <text>
        <r>
          <rPr>
            <sz val="12"/>
            <rFont val="Arial"/>
            <family val="2"/>
          </rPr>
          <t>[Threaded comment]
Your version of Excel allows you to read this threaded comment; however, any edits to it will get removed if the file is opened in a newer version of Excel. Learn more: https://go.microsoft.com/fwlink/?linkid=870924
Comment:
    EOY balance is 0, but to keep formula working on Exhibit 4, i need to these this here...?</t>
        </r>
      </text>
    </comment>
  </commentList>
</comments>
</file>

<file path=xl/sharedStrings.xml><?xml version="1.0" encoding="utf-8"?>
<sst xmlns="http://schemas.openxmlformats.org/spreadsheetml/2006/main" count="2421" uniqueCount="1219">
  <si>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</si>
  <si>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</si>
  <si>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</si>
  <si>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</si>
  <si>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</si>
  <si>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</si>
  <si>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</si>
  <si>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</si>
  <si>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</si>
  <si>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</si>
  <si>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</si>
  <si>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</si>
  <si>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</si>
  <si>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</si>
  <si>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</si>
  <si>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</si>
  <si>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</si>
  <si>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</si>
  <si>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</si>
  <si>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</si>
  <si>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</si>
  <si>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</si>
  <si>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</si>
  <si>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</si>
  <si>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</si>
  <si>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</si>
  <si>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</si>
  <si>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</si>
  <si>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</si>
  <si>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</si>
  <si>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</si>
  <si>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</si>
  <si>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</si>
  <si>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</si>
  <si>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</si>
  <si>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</si>
  <si>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</si>
  <si>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</si>
  <si>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</si>
  <si>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</si>
  <si>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</si>
  <si>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</si>
  <si>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</si>
  <si>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</si>
  <si>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</si>
  <si>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</si>
  <si>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</si>
  <si>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</si>
  <si>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</si>
  <si>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</si>
  <si>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</si>
  <si>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</si>
  <si>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</si>
  <si>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</si>
  <si>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</si>
  <si>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</si>
  <si>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</si>
  <si>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</si>
  <si>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</si>
  <si>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</si>
  <si>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</si>
  <si>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</si>
  <si>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</si>
  <si>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</si>
  <si>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</si>
  <si>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</si>
  <si>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</si>
  <si>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</si>
  <si>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</si>
  <si>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</si>
  <si>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</si>
  <si>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</si>
  <si>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</si>
  <si>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</si>
  <si>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</si>
  <si>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</si>
  <si>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</si>
  <si>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</si>
  <si>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</si>
  <si>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</si>
  <si>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</si>
  <si>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</si>
  <si>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</si>
  <si>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</si>
  <si>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</si>
  <si>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</si>
  <si>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</si>
  <si>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</si>
  <si>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</si>
  <si>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</si>
  <si>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</si>
  <si>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</si>
  <si>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ST = Emera Maine state income tax rate</t>
  </si>
  <si>
    <t>1-ST</t>
  </si>
  <si>
    <t>where:</t>
  </si>
  <si>
    <t>((A+[(B+C)/D])+E)xST</t>
  </si>
  <si>
    <t>Per Formula at 45-46</t>
  </si>
  <si>
    <t>Federal Income Tax</t>
  </si>
  <si>
    <t>FT = Emera Maine federal income tax rate</t>
  </si>
  <si>
    <t>1-FT</t>
  </si>
  <si>
    <t>(A+[(B+C)/D]xFT</t>
  </si>
  <si>
    <t>Return on Equity Component</t>
  </si>
  <si>
    <t>Note 1</t>
  </si>
  <si>
    <t>Return on Equity Rate</t>
  </si>
  <si>
    <t>Common Equity Capitalization Ratio</t>
  </si>
  <si>
    <t>Emera Maine Total Capital</t>
  </si>
  <si>
    <t>Emera Maine Common Equity Adjusted</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</si>
  <si>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</si>
  <si>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</si>
  <si>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</si>
  <si>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</si>
  <si>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</si>
  <si>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</si>
  <si>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</si>
  <si>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</si>
  <si>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</si>
  <si>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</si>
  <si>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</si>
  <si>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</si>
  <si>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</si>
  <si>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</si>
  <si>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</si>
  <si>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</si>
  <si>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</si>
  <si>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</si>
  <si>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</si>
  <si>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</si>
  <si>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</si>
  <si>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</si>
  <si>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</si>
  <si>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</si>
  <si>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</si>
  <si>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</si>
  <si>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</si>
  <si>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</si>
  <si>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</si>
  <si>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</si>
  <si>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</si>
  <si>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</si>
  <si>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</si>
  <si>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</si>
  <si>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</si>
  <si>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</si>
  <si>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</si>
  <si>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</si>
  <si>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</si>
  <si>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</si>
  <si>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</si>
  <si>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</si>
  <si>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</si>
  <si>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</si>
  <si>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</si>
  <si>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</si>
  <si>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</si>
  <si>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</si>
  <si>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</si>
  <si>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</si>
  <si>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</si>
  <si>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</si>
  <si>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</si>
  <si>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</si>
  <si>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</si>
  <si>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</si>
  <si>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</si>
  <si>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</si>
  <si>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</si>
  <si>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</si>
  <si>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</si>
  <si>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</si>
  <si>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</si>
  <si>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</si>
  <si>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</si>
  <si>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</si>
  <si>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Excludes transmission investments for which Emera Maine received up-front customer contributions that it does not have to repay.</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</si>
  <si>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</si>
  <si>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</si>
  <si>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</si>
  <si>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</si>
  <si>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</si>
  <si>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</si>
  <si>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</si>
  <si>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</si>
  <si>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</si>
  <si>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</si>
  <si>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</si>
  <si>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</si>
  <si>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</si>
  <si>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</si>
  <si>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</si>
  <si>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</si>
  <si>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</si>
  <si>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</si>
  <si>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</si>
  <si>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</si>
  <si>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</si>
  <si>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</si>
  <si>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</si>
  <si>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</si>
  <si>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</si>
  <si>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</si>
  <si>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</si>
  <si>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</si>
  <si>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</si>
  <si>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</si>
  <si>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</si>
  <si>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</si>
  <si>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</si>
  <si>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</si>
  <si>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</si>
  <si>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</si>
  <si>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</si>
  <si>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</si>
  <si>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</si>
  <si>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</si>
  <si>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</si>
  <si>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</si>
  <si>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</si>
  <si>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</si>
  <si>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</si>
  <si>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</si>
  <si>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</si>
  <si>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</si>
  <si>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</si>
  <si>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</si>
  <si>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</si>
  <si>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</si>
  <si>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</si>
  <si>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</si>
  <si>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</si>
  <si>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</si>
  <si>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</si>
  <si>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</si>
  <si>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</si>
  <si>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</si>
  <si>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</si>
  <si>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</si>
  <si>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</si>
  <si>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</si>
  <si>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</si>
  <si>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</si>
  <si>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</si>
  <si>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</si>
  <si>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</si>
  <si>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</si>
  <si>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</si>
  <si>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</si>
  <si>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</si>
  <si>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</si>
  <si>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</si>
  <si>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</si>
  <si>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</si>
  <si>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</si>
  <si>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</si>
  <si>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</si>
  <si>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</si>
  <si>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</si>
  <si>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</si>
  <si>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</si>
  <si>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</si>
  <si>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</si>
  <si>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</si>
  <si>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</si>
  <si>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</si>
  <si>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</si>
  <si>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</si>
  <si>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</si>
  <si>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</si>
  <si>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</si>
  <si>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</si>
  <si>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</si>
  <si>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</si>
  <si>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</si>
  <si>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</si>
  <si>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</si>
  <si>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</si>
  <si>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</si>
  <si>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</si>
  <si>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</si>
  <si>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</si>
  <si>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</si>
  <si>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</si>
  <si>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</si>
  <si>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</si>
  <si>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</si>
  <si>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</si>
  <si>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</si>
  <si>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</si>
  <si>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</si>
  <si>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</si>
  <si>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</si>
  <si>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</si>
  <si>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</si>
  <si>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</si>
  <si>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</si>
  <si>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</si>
  <si>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</si>
  <si>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</si>
  <si>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</si>
  <si>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</si>
  <si>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</si>
  <si>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</si>
  <si>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</si>
  <si>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</si>
  <si>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</si>
  <si>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</si>
  <si>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</si>
  <si>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</si>
  <si>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</si>
  <si>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</si>
  <si>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</si>
  <si>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</si>
  <si>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</si>
  <si>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</si>
  <si>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</si>
  <si>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</si>
  <si>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</si>
  <si>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</si>
  <si>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</si>
  <si>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</si>
  <si>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</si>
  <si>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</si>
  <si>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</si>
  <si>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Account 561.4 costs Emera Maine pays to the Northern Maine ISA (NMISA) on behalf of the MPD load. From Company Records.</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</si>
  <si>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</si>
  <si>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</si>
  <si>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</si>
  <si>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</si>
  <si>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</si>
  <si>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</si>
  <si>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</si>
  <si>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</si>
  <si>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</si>
  <si>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</si>
  <si>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</si>
  <si>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</si>
  <si>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</si>
  <si>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</si>
  <si>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</si>
  <si>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</si>
  <si>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</si>
  <si>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</si>
  <si>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</si>
  <si>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</si>
  <si>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</si>
  <si>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</si>
  <si>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</si>
  <si>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</si>
  <si>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</si>
  <si>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</si>
  <si>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</si>
  <si>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</si>
  <si>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</si>
  <si>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</si>
  <si>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</si>
  <si>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</si>
  <si>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</si>
  <si>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</si>
  <si>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</si>
  <si>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</si>
  <si>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</si>
  <si>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</si>
  <si>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</si>
  <si>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</si>
  <si>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</si>
  <si>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</si>
  <si>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</si>
  <si>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</si>
  <si>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</si>
  <si>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</si>
  <si>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</si>
  <si>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</si>
  <si>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</si>
  <si>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</si>
  <si>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</si>
  <si>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</si>
  <si>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</si>
  <si>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</si>
  <si>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</si>
  <si>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</si>
  <si>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</si>
  <si>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</si>
  <si>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</si>
  <si>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</si>
  <si>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</si>
  <si>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</si>
  <si>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</si>
  <si>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</si>
  <si>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</si>
  <si>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</si>
  <si>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</si>
  <si>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</si>
  <si>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</si>
  <si>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</si>
  <si>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</si>
  <si>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</si>
  <si>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</si>
  <si>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</si>
  <si>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</si>
  <si>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</si>
  <si>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</si>
  <si>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</si>
  <si>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</si>
  <si>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</si>
  <si>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</si>
  <si>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</si>
  <si>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</si>
  <si>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</si>
  <si>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</si>
  <si>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</si>
  <si>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</si>
  <si>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</si>
  <si>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</si>
  <si>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</si>
  <si>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</si>
  <si>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</si>
  <si>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</si>
  <si>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</si>
  <si>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</si>
  <si>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</si>
  <si>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</si>
  <si>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</si>
  <si>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</si>
  <si>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</si>
  <si>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</si>
  <si>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</si>
  <si>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</si>
  <si>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</si>
  <si>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</si>
  <si>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</si>
  <si>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</si>
  <si>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</si>
  <si>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</si>
  <si>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</si>
  <si>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</si>
  <si>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</si>
  <si>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</si>
  <si>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</si>
  <si>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</si>
  <si>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</si>
  <si>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</si>
  <si>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</si>
  <si>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</si>
  <si>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</si>
  <si>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</si>
  <si>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</si>
  <si>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</si>
  <si>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</si>
  <si>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</si>
  <si>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</si>
  <si>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</si>
  <si>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</si>
  <si>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</si>
  <si>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</si>
  <si>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</si>
  <si>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</si>
  <si>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</si>
  <si>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</si>
  <si>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</si>
  <si>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</si>
  <si>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</si>
  <si>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</si>
  <si>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</si>
  <si>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</si>
  <si>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</si>
  <si>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</si>
  <si>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</si>
  <si>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</si>
  <si>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</si>
  <si>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</si>
  <si>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</si>
  <si>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</si>
  <si>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</si>
  <si>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</si>
  <si>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</si>
  <si>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</si>
  <si>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</si>
  <si>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</si>
  <si>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</si>
  <si>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</si>
  <si>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</si>
  <si>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</si>
  <si>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</si>
  <si>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</si>
  <si>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</si>
  <si>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</si>
  <si>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</si>
  <si>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</si>
  <si>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</si>
  <si>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</si>
  <si>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</si>
  <si>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</si>
  <si>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</si>
  <si>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</si>
  <si>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</si>
  <si>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</si>
  <si>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</si>
  <si>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</si>
  <si>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</si>
  <si>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</si>
  <si>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</si>
  <si>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</si>
  <si>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</si>
  <si>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</si>
  <si>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</si>
  <si>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</si>
  <si>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</si>
  <si>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</si>
  <si>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</si>
  <si>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</si>
  <si>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</si>
  <si>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</si>
  <si>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</si>
  <si>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</si>
  <si>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FF1 at 304:42b</t>
  </si>
  <si>
    <t>FF1 at 304:42c</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</si>
  <si>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</si>
  <si>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</si>
  <si>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</si>
  <si>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</si>
  <si>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</si>
  <si>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</si>
  <si>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</si>
  <si>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</si>
  <si>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</si>
  <si>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</si>
  <si>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</si>
  <si>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</si>
  <si>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</si>
  <si>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</si>
  <si>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</si>
  <si>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</si>
  <si>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</si>
  <si>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</si>
  <si>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</si>
  <si>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</si>
  <si>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</si>
  <si>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</si>
  <si>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</si>
  <si>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</si>
  <si>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</si>
  <si>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</si>
  <si>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</si>
  <si>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</si>
  <si>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</si>
  <si>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</si>
  <si>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</si>
  <si>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</si>
  <si>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</si>
  <si>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</si>
  <si>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</si>
  <si>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</si>
  <si>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</si>
  <si>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</si>
  <si>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</si>
  <si>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</si>
  <si>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</si>
  <si>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</si>
  <si>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</si>
  <si>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</si>
  <si>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</si>
  <si>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</si>
  <si>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</si>
  <si>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</si>
  <si>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</si>
  <si>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</si>
  <si>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</si>
  <si>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</si>
  <si>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</si>
  <si>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</si>
  <si>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</si>
  <si>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</si>
  <si>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</si>
  <si>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</si>
  <si>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</si>
  <si>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</si>
  <si>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</si>
  <si>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</si>
  <si>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</si>
  <si>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</si>
  <si>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</si>
  <si>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</si>
  <si>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</si>
  <si>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</si>
  <si>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</si>
  <si>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</si>
  <si>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</si>
  <si>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</si>
  <si>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</si>
  <si>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</si>
  <si>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</si>
  <si>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</si>
  <si>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</si>
  <si>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</si>
  <si>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</si>
  <si>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</si>
  <si>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</si>
  <si>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</si>
  <si>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</si>
  <si>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</si>
  <si>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</si>
  <si>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</si>
  <si>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</si>
  <si>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</si>
  <si>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</si>
  <si>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</si>
  <si>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</si>
  <si>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</si>
  <si>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</si>
  <si>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</si>
  <si>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</si>
  <si>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</si>
  <si>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</si>
  <si>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</si>
  <si>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</si>
  <si>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</si>
  <si>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</si>
  <si>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</si>
  <si>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</si>
  <si>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</si>
  <si>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</si>
  <si>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</si>
  <si>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</si>
  <si>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</si>
  <si>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</si>
  <si>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</si>
  <si>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</si>
  <si>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</si>
  <si>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</si>
  <si>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</si>
  <si>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</si>
  <si>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</si>
  <si>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</si>
  <si>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</si>
  <si>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</si>
  <si>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</si>
  <si>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Exhibit 4 [3r + 5r]</t>
  </si>
  <si>
    <t>FF1 at 263i</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</si>
  <si>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</si>
  <si>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</si>
  <si>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</si>
  <si>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</si>
  <si>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</si>
  <si>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</si>
  <si>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</si>
  <si>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</si>
  <si>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</si>
  <si>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</si>
  <si>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</si>
  <si>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</si>
  <si>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</si>
  <si>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</si>
  <si>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</si>
  <si>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</si>
  <si>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</si>
  <si>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</si>
  <si>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</si>
  <si>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</si>
  <si>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</si>
  <si>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</si>
  <si>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</si>
  <si>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</si>
  <si>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</si>
  <si>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</si>
  <si>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</si>
  <si>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</si>
  <si>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</si>
  <si>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</si>
  <si>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</si>
  <si>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</si>
  <si>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</si>
  <si>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</si>
  <si>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</si>
  <si>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</si>
  <si>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</si>
  <si>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</si>
  <si>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</si>
  <si>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</si>
  <si>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</si>
  <si>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</si>
  <si>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</si>
  <si>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</si>
  <si>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</si>
  <si>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</si>
  <si>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</si>
  <si>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</si>
  <si>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</si>
  <si>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</si>
  <si>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Exhibit 2 at 33a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</si>
  <si>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</si>
  <si>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</si>
  <si>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</si>
  <si>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</si>
  <si>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</si>
  <si>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</si>
  <si>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</si>
  <si>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</si>
  <si>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</si>
  <si>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</si>
  <si>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</si>
  <si>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</si>
  <si>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</si>
  <si>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</si>
  <si>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</si>
  <si>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</si>
  <si>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</si>
  <si>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</si>
  <si>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</si>
  <si>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</si>
  <si>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</si>
  <si>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</si>
  <si>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</si>
  <si>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</si>
  <si>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</si>
  <si>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</si>
  <si>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</si>
  <si>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</si>
  <si>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</si>
  <si>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</si>
  <si>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</si>
  <si>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</si>
  <si>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</si>
  <si>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</si>
  <si>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</si>
  <si>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</si>
  <si>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</si>
  <si>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</si>
  <si>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</si>
  <si>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</si>
  <si>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</si>
  <si>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</si>
  <si>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</si>
  <si>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</si>
  <si>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</si>
  <si>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</si>
  <si>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</si>
  <si>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</si>
  <si>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</si>
  <si>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</si>
  <si>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</si>
  <si>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</si>
  <si>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</si>
  <si>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</si>
  <si>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</si>
  <si>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</si>
  <si>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</si>
  <si>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</si>
  <si>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</si>
  <si>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</si>
  <si>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</si>
  <si>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</si>
  <si>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</si>
  <si>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</si>
  <si>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</si>
  <si>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</si>
  <si>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</si>
  <si>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</si>
  <si>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</si>
  <si>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</si>
  <si>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</si>
  <si>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</si>
  <si>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</si>
  <si>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</si>
  <si>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</si>
  <si>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</si>
  <si>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</si>
  <si>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</si>
  <si>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</si>
  <si>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</si>
  <si>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</si>
  <si>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</si>
  <si>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</si>
  <si>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</si>
  <si>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</si>
  <si>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</si>
  <si>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</si>
  <si>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</si>
  <si>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</si>
  <si>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</si>
  <si>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</si>
  <si>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</si>
  <si>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</si>
  <si>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</si>
  <si>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</si>
  <si>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</si>
  <si>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</si>
  <si>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</si>
  <si>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</si>
  <si>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HWC</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</si>
  <si>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</si>
  <si>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</si>
  <si>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</si>
  <si>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</si>
  <si>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</si>
  <si>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</si>
  <si>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</si>
  <si>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</si>
  <si>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</si>
  <si>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</si>
  <si>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</si>
  <si>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</si>
  <si>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</si>
  <si>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</si>
  <si>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</si>
  <si>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</si>
  <si>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</si>
  <si>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</si>
  <si>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</si>
  <si>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</si>
  <si>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</si>
  <si>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</si>
  <si>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</si>
  <si>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</si>
  <si>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</si>
  <si>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</si>
  <si>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</si>
  <si>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</si>
  <si>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</si>
  <si>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</si>
  <si>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</si>
  <si>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</si>
  <si>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</si>
  <si>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</si>
  <si>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</si>
  <si>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</si>
  <si>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</si>
  <si>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</si>
  <si>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</si>
  <si>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</si>
  <si>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</si>
  <si>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</si>
  <si>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</si>
  <si>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</si>
  <si>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</si>
  <si>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</si>
  <si>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</si>
  <si>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</si>
  <si>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</si>
  <si>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</si>
  <si>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</si>
  <si>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</si>
  <si>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</si>
  <si>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</si>
  <si>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</si>
  <si>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</si>
  <si>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</si>
  <si>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</si>
  <si>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</si>
  <si>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</si>
  <si>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</si>
  <si>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</si>
  <si>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</si>
  <si>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</si>
  <si>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</si>
  <si>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</si>
  <si>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</si>
  <si>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</si>
  <si>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</si>
  <si>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</si>
  <si>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</si>
  <si>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</si>
  <si>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</si>
  <si>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</si>
  <si>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</si>
  <si>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</si>
  <si>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</si>
  <si>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</si>
  <si>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</si>
  <si>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</si>
  <si>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</si>
  <si>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</si>
  <si>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</si>
  <si>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Values to Exhibit 4, Line 26.1</t>
  </si>
  <si>
    <t>MPD Transmission Excess ADIT Liability - Protected</t>
  </si>
  <si>
    <t>MPD Transmission Excess ADIT Liability - Unprotected</t>
  </si>
  <si>
    <t>MPD Transmission Excess ADIT Liability (Total)</t>
  </si>
  <si>
    <t>Line 1 + Line 2</t>
  </si>
  <si>
    <t>5a * 3[a to m]</t>
  </si>
  <si>
    <t>Amortization (One Month)</t>
  </si>
  <si>
    <t>Maine Public District</t>
  </si>
  <si>
    <t>Bangor Hydro District</t>
  </si>
  <si>
    <t>Distribution</t>
  </si>
  <si>
    <t>c= a + b</t>
  </si>
  <si>
    <t>2c + 3c</t>
  </si>
  <si>
    <t>Amortization Period (Years)</t>
  </si>
  <si>
    <t>Per FERC Order, 165 FERC ¶ 61,086</t>
  </si>
  <si>
    <t>Notes:</t>
  </si>
  <si>
    <t>Emera Maine Excess ADIT Liability (at 12/31/2017)</t>
  </si>
  <si>
    <t>WP EADIT AMORTIZATION</t>
  </si>
  <si>
    <t>Workpaper - EADIT Amortization</t>
  </si>
  <si>
    <t>Annual Amortization of MPD Transmission EADIT Liability - Protected</t>
  </si>
  <si>
    <t>Annual Amortization of MPD Transmission EADIT Liability - Unprotected</t>
  </si>
  <si>
    <t>Workpaper - EADIT Liability</t>
  </si>
  <si>
    <t>WP EADIT LIABILITY</t>
  </si>
  <si>
    <t>WP EADIT Liability, 6a:6m</t>
  </si>
  <si>
    <t>Unprotected Excess ADIT Liability to be amortized beginning 1/1/2018</t>
  </si>
  <si>
    <t>MPD Transmission EADIT Balance</t>
  </si>
  <si>
    <t>Protected</t>
  </si>
  <si>
    <t>Unprotected</t>
  </si>
  <si>
    <t>Line 11 - Line 8</t>
  </si>
  <si>
    <t>Line 12 - Line 8</t>
  </si>
  <si>
    <t>Line 13 - Line 8</t>
  </si>
  <si>
    <t>Line 14 - Line 8</t>
  </si>
  <si>
    <t>Line 15 - Line 8</t>
  </si>
  <si>
    <t>Line 16 - Line 8</t>
  </si>
  <si>
    <t>Line 17 - Line 8</t>
  </si>
  <si>
    <t>Line 18 - Line 8</t>
  </si>
  <si>
    <t>Line 19 - Line 8</t>
  </si>
  <si>
    <t>Line 20 - Line 8</t>
  </si>
  <si>
    <t>Line 21 - Line 8</t>
  </si>
  <si>
    <t>Line 22 - Line 8</t>
  </si>
  <si>
    <t>Emera Maine Unprotected Excess ADIT Liability (at 12/31/2017 as adjusted)</t>
  </si>
  <si>
    <t>Annual Emera Maine Unprotected Excess ADIT Amortization Expense (Note 1)</t>
  </si>
  <si>
    <t>Sum 1a:3a</t>
  </si>
  <si>
    <t>4a / 5a</t>
  </si>
  <si>
    <t>Adjustment (recorded as of 10/31/2018)</t>
  </si>
  <si>
    <t>WP UNPROTECTED EADIT AMORTIZATION</t>
  </si>
  <si>
    <t>Workpaper - Unprotected EADIT Amortization</t>
  </si>
  <si>
    <t>OTHER - MPS</t>
  </si>
  <si>
    <t>BIOMASS DERIVATIVE LIABILITY</t>
  </si>
  <si>
    <t>BIOMASS DERIVATIVE REGULATORY ASSET</t>
  </si>
  <si>
    <t>SWANS ISLAND VEG &amp; INSPECTION COSTS</t>
  </si>
  <si>
    <t>SWANS ISLAND REVENUE DEFICIENCY</t>
  </si>
  <si>
    <t>2017 WIND STORM</t>
  </si>
  <si>
    <t>MPD LARGE SOP RECON DEFERRALS</t>
  </si>
  <si>
    <t>PREPAID IT SUPPORT COSTS</t>
  </si>
  <si>
    <t>MPD WHEELING REFUND</t>
  </si>
  <si>
    <t>BRIDAL PATH EASEMENT</t>
  </si>
  <si>
    <t>MPS TRANSMISSION RATE REFUND LIABILITY</t>
  </si>
  <si>
    <t>MPUC MANAGEMENT AUDIT COSTS</t>
  </si>
  <si>
    <t>BHD FERC MERGER COSTS REFUND RECEIVABLE</t>
  </si>
  <si>
    <t>TRANSMISSION RATE CHANGE DELAY</t>
  </si>
  <si>
    <t>ARREARAGE MANAGEMENT PROGRAM - REG ASSET</t>
  </si>
  <si>
    <t>NOVEMBER STORM 2014 - REG ASSET</t>
  </si>
  <si>
    <t>MPD STRANDED COST RECONCILIATION DEFERRAL</t>
  </si>
  <si>
    <t>ANNUAL-TRANSMISSION ATU ADJUSTMENT</t>
  </si>
  <si>
    <t>MAINE YANKEE - MPS</t>
  </si>
  <si>
    <t>MEPCO - MPS</t>
  </si>
  <si>
    <t xml:space="preserve">CAPITAL LEASE OBLIGATION </t>
  </si>
  <si>
    <t xml:space="preserve">DEFERRED DIRECTORS FEES </t>
  </si>
  <si>
    <t xml:space="preserve">DEFERRED REVENUE-FIBER LEASE </t>
  </si>
  <si>
    <t>MNB PENSION ACCRUAL</t>
  </si>
  <si>
    <t xml:space="preserve">REG. LIABILITY - MAINE YANKEE DECOMMISSIONING LIABILITY </t>
  </si>
  <si>
    <t xml:space="preserve">REG. LIABILITY - SPECIAL DISCOUNT RECONCILIATION </t>
  </si>
  <si>
    <t xml:space="preserve">REG. ASSET - UNAMORTIZED LOSS ON REACQUIRED DEBT </t>
  </si>
  <si>
    <t>REG. ASSET - LOSS ON INTEREST RATE HEDGE</t>
  </si>
  <si>
    <t>REG. ASSET - DEFERRED FUEL</t>
  </si>
  <si>
    <t>REG. ASSET- MAINE YANKEE - DECOMISSIONING COSTS</t>
  </si>
  <si>
    <t>PREPAID INSURANCE</t>
  </si>
  <si>
    <t>EMERA MAINE PERMANENT HEAT PUMP PROGRAM COSTS</t>
  </si>
  <si>
    <t>MAINE YANKEE RGGI PROCEEDS</t>
  </si>
  <si>
    <t>MAINE YANKEE DOE PROCEEDS (MPS)</t>
  </si>
  <si>
    <t>MPS CIAC WRITEOFF/AMORTIZATION</t>
  </si>
  <si>
    <t>2013 ICE STORM REPAIR DEFERRAL</t>
  </si>
  <si>
    <t>ACCRUAL VACATION TIME</t>
  </si>
  <si>
    <t>RESERVE FOR BAD DEBTS</t>
  </si>
  <si>
    <t>PERC WARRANTS EXERCISED ABOVE BOOK VALUE</t>
  </si>
  <si>
    <t>PROPERTY TAXES</t>
  </si>
  <si>
    <t>SELF-INSURED MEDICAL RESERVE</t>
  </si>
  <si>
    <t>SUPPLEMENTAL EXECUTIVE RETIREMENT PLAN (SERP)</t>
  </si>
  <si>
    <t>REG ASSET- PENSION</t>
  </si>
  <si>
    <t>ACCRUED PENSION</t>
  </si>
  <si>
    <t>REG ASSET- FASB 106</t>
  </si>
  <si>
    <t>FASB 106 LIABILITY</t>
  </si>
  <si>
    <t>DEFERRED HEADWATER CLAIM LEGAL COSTS</t>
  </si>
  <si>
    <t>PURCHASE POWER RECONCILIATION DEFERRALS 2</t>
  </si>
  <si>
    <t>DEFERRED HEAT PUMP PROGRAM COSTS</t>
  </si>
  <si>
    <t>ORPC LONG TERM PURCHASED POWER CONTRACT</t>
  </si>
  <si>
    <t>DEMAND -SIDE MANAGEMENT COSTS</t>
  </si>
  <si>
    <t>PURCHASE POWER RECONCILIATION DEFERRALS 1</t>
  </si>
  <si>
    <t>ICE STORM COSTS OF 1998</t>
  </si>
  <si>
    <t>DEMAND-SIDE MANAGEMENT COSTS</t>
  </si>
  <si>
    <t>FERC T ROE REGULATORY LIABILITY</t>
  </si>
  <si>
    <t>STRANDED COST REVENUE REQUIREMENT LEVELIZER - NEW</t>
  </si>
  <si>
    <t>PROCEEDS FR RETIREMENT OF DIESEL GEN UNITS</t>
  </si>
  <si>
    <t>SEABROOK UNIT #1 LOSS</t>
  </si>
  <si>
    <t>ACCRUED EMPLOYEE BONUS</t>
  </si>
  <si>
    <t>ACCRUED COMPENSATION EMP RETENTION PROG</t>
  </si>
  <si>
    <t>POWER PACT</t>
  </si>
  <si>
    <t>INTEREST CAP FOR TAX NOT BOOKS - TRANSMISSION - NOR</t>
  </si>
  <si>
    <t>INTEREST CAP FOR TAX NOT BOOKS - DISTRIBUTION - NOR</t>
  </si>
  <si>
    <t>(NOR) - SEC. 263A UNICAP DEDUCTION - FEDERAL - DISTRIBUTION (SEC. 481a ADJ)</t>
  </si>
  <si>
    <t>(NOR) - SEC. 263A UNICAP DEDUCTION - FEDERAL - TRANSMISSION (SEC. 481a ADJ)</t>
  </si>
  <si>
    <t>COST OF REMOVAL - TRANSMISSION - NOR</t>
  </si>
  <si>
    <t>COST OF REMOVAL - DISTRIBUTION - NOR</t>
  </si>
  <si>
    <t>(NOR) - SEC. 263A UNICAP DEDUCTION - FEDERAL - DISTRIBUTION  - (CURRRENT DEDUCTION)</t>
  </si>
  <si>
    <t>(NOR) - SEC. 263A UNICAP DEDUCTION - FEDERAL - TRANSMISSION - (CURRRENT DEDUCTION)</t>
  </si>
  <si>
    <t>TAX GAINS (LOSSES) - TRANSMISSION - NOR</t>
  </si>
  <si>
    <t>TAX GAINS (LOSSES) - DISTRIBUTION - NOR</t>
  </si>
  <si>
    <t>RAR ADJUSTMENT FOR 1995-1997 AUDIT</t>
  </si>
  <si>
    <t>TOTAL PLANT - MPS</t>
  </si>
  <si>
    <t>AMI ASSET ADJUSTMENTS (SEC. 481A ADJ)</t>
  </si>
  <si>
    <t>(SOR) - SEC. 263A UNICAP DEDUCTION (STATE - TRANSMISSION)</t>
  </si>
  <si>
    <t>(SOR) - SEC. 263A UNICAP DEDUCTION - FEDERAL DISTRIBUTION - 481A</t>
  </si>
  <si>
    <t>(NOR) - SEC. 162 REPAIRS DEDUCTION - DISTRIBUTION</t>
  </si>
  <si>
    <t>(NOR) - SEC. 162 REPAIRS DEDUCTION - TRANSMISSION</t>
  </si>
  <si>
    <t>(NOR) - SEC. 162 REPAIRS DEDUCTION - DISTRIBUTION (SEC. 481a ADJ)</t>
  </si>
  <si>
    <t>(NOR) - SEC. 162 REPAIRS DEDUCTION - TRANSMISSION (SEC. 481a ADJ)</t>
  </si>
  <si>
    <t>CIAC-NOR</t>
  </si>
  <si>
    <t>263(A) INTEREST-NOR</t>
  </si>
  <si>
    <t>BASIS DIFFERENCE ON REPAIR/REPLACE-NOR</t>
  </si>
  <si>
    <t>BASIS DIFFERENCE ON 263(A) CAP O/H - NOR</t>
  </si>
  <si>
    <t>NET SALVAGE-NOR</t>
  </si>
  <si>
    <t>BASIS DIFFERENCE - AFUDC DEBT/DISTRIBUTION - SOR</t>
  </si>
  <si>
    <t>AMI AFUDC DEBT</t>
  </si>
  <si>
    <t>TAXABLE CIAC</t>
  </si>
  <si>
    <t>CIAC AMORTIZATION OF DEF'D REVENUE</t>
  </si>
  <si>
    <t>CIAC TAX DEPR</t>
  </si>
  <si>
    <t>STATE REQ'S CONSTRUCTION - FERC</t>
  </si>
  <si>
    <t>STATE REQ'S CONSTRUCTION - MPUC (CURRENT DEDUCTION)</t>
  </si>
  <si>
    <t>REPAIR/REPLACEMENT DEDUCTION - FERC 2</t>
  </si>
  <si>
    <t>REPAIR/REPLACEMENT DEDUCTION - MPUC (CURRENT DEDUCTION)</t>
  </si>
  <si>
    <t>REPAIR/REPLACEMENT DEDUCTION - FERC 1</t>
  </si>
  <si>
    <t>REPAIR/REPLACEMENT DEDUCTION - MPUC (TURN AROUND)</t>
  </si>
  <si>
    <t>O/H'S CAP FOR BOOK NOT FOR TAX - FERC - CWIP</t>
  </si>
  <si>
    <t>O/H'S CAP FOR BOOK NOT FOR TAX - FERC 2</t>
  </si>
  <si>
    <t>O/H'S CAP FOR BOOK NOT FOR TAX - MPUC (CURRENT DEDUCTION)</t>
  </si>
  <si>
    <t>O/H'S CAP FOR BOOK NOT FOR TAX - FERC 1</t>
  </si>
  <si>
    <t>O/H'S CAP FOR BOOK NOT FOR TAX - MPUC (TURN AROUND)</t>
  </si>
  <si>
    <t>INTEREST CAP - TAX OVER BOOK DEPR - FERC</t>
  </si>
  <si>
    <t>INTEREST CAP - TAX OVER BOOK DEPR - MPUC</t>
  </si>
  <si>
    <t>TAX GAINS (LOSSES) - FERC</t>
  </si>
  <si>
    <t>TAX GAINS (LOSSES) - MPUC</t>
  </si>
  <si>
    <t>INTEREST CAP FOR TAX NOT BOOKS - FERC</t>
  </si>
  <si>
    <t>INTEREST CAP FOR TAX NOT BOOKS - MPUC</t>
  </si>
  <si>
    <t>COST OF REMOVAL - FERC</t>
  </si>
  <si>
    <t>COST OF REMOVAL - MPUC</t>
  </si>
  <si>
    <t>OTHER - MPUC</t>
  </si>
  <si>
    <t>OTHER - FERC</t>
  </si>
  <si>
    <t>NET SALVAGE - FERC</t>
  </si>
  <si>
    <t>NET SALVAGE - MPUC</t>
  </si>
  <si>
    <t>TAX DEPR IN EXCESS OF BOOK DEPR - STATE TRANSMISSION</t>
  </si>
  <si>
    <t>TAX DEPR IN EXCESS OF BOOK DEPR - FERC</t>
  </si>
  <si>
    <t>TAX DEPR IN EXCESS OF BOOK DEPR - MPUC</t>
  </si>
  <si>
    <t>Workpaper - Deferred Tax Asset/Liability Detail</t>
  </si>
  <si>
    <t>at 21%</t>
  </si>
  <si>
    <t>at 35%</t>
  </si>
  <si>
    <t>Difference</t>
  </si>
  <si>
    <t>Total Per Trial Balances</t>
  </si>
  <si>
    <t>Total Per Above Detail</t>
  </si>
  <si>
    <t>WP DEFERRED TAX ASSET/LIABILITY DETAIL</t>
  </si>
  <si>
    <t>GRAND TOTAL</t>
  </si>
  <si>
    <t>Self insured medical reserve</t>
  </si>
  <si>
    <t>Property Taxes</t>
  </si>
  <si>
    <t>Reg. Asset - FASB 158</t>
  </si>
  <si>
    <t>(BHD) Customer Information System</t>
  </si>
  <si>
    <t>(BHD) Misc. 1995-97 RAR Adjustments</t>
  </si>
  <si>
    <t>(BHD) Depreciation - Bangor Hydro (General)</t>
  </si>
  <si>
    <t>(BHD) Depreciation - Bangor Hydro (Transmission)</t>
  </si>
  <si>
    <t>(BHD) Other - FERC</t>
  </si>
  <si>
    <t>(BHD) Tax Gains (Losses) - Transmission</t>
  </si>
  <si>
    <t>(BHD) State req'd Construction - FERC</t>
  </si>
  <si>
    <t>(BHD) Replacement/Repair Deduction - Transmission</t>
  </si>
  <si>
    <t>(BHD) 263(A) Overheads - Transmission</t>
  </si>
  <si>
    <t>(BHD) Int Cap for Tax - Transmission</t>
  </si>
  <si>
    <t>(BHD) Net Salvage - Transmission</t>
  </si>
  <si>
    <t>(BHD) Cost of Removal - Transmission</t>
  </si>
  <si>
    <t>Excess</t>
  </si>
  <si>
    <t>Tax Rates</t>
  </si>
  <si>
    <t>Pre-TCJA</t>
  </si>
  <si>
    <t>Post-TCJA</t>
  </si>
  <si>
    <t>Federal Tax Rate</t>
  </si>
  <si>
    <t>State Tax Rate</t>
  </si>
  <si>
    <t>Blended Tax Rate</t>
  </si>
  <si>
    <t>1a + 2a * (1 - 1a); 1b + 2b * (1 - 1b)</t>
  </si>
  <si>
    <t>c = a - b</t>
  </si>
  <si>
    <t>Pre-TCJA Value at</t>
  </si>
  <si>
    <t>12/31/2017 (Note 1)</t>
  </si>
  <si>
    <t>12/31/2017 (Note 2)</t>
  </si>
  <si>
    <t>Allocator (Note 1)</t>
  </si>
  <si>
    <t>Post-TCJA Value at</t>
  </si>
  <si>
    <t>3a + 4a</t>
  </si>
  <si>
    <t>Allocation of Excess to LNS Transmission</t>
  </si>
  <si>
    <t>Allocation of Excess to RNS Transmission</t>
  </si>
  <si>
    <t>Allocation of Excess to Distribution</t>
  </si>
  <si>
    <t>Protected/</t>
  </si>
  <si>
    <t>Tax Dep. In  Excess of Book MPUC (D)</t>
  </si>
  <si>
    <t>Total Plant MPD (D)</t>
  </si>
  <si>
    <t>Tax Dep. In Excess of Book FERC (T)</t>
  </si>
  <si>
    <t>Tax Dep. In Excess of Book State (T)</t>
  </si>
  <si>
    <t>Total Plant MPD (T)</t>
  </si>
  <si>
    <t>Figures in Columns A and D correspond to values in WP ADIT of MPD 2018-2019 Estimated Charges file per 3/12/2020 Settlement with MPUC and MCG</t>
  </si>
  <si>
    <t>Sum 9a:13a</t>
  </si>
  <si>
    <t>(9a + 10a) / 14a</t>
  </si>
  <si>
    <t>Mixed</t>
  </si>
  <si>
    <t>DTA Runout Years</t>
  </si>
  <si>
    <t>Source: PriceWaterhouse Coopers</t>
  </si>
  <si>
    <t>Less Protected Excess ADIT Liability (at 12/31/2017) (neg)</t>
  </si>
  <si>
    <t>Tax Depreciation</t>
  </si>
  <si>
    <t>Book Depr Expense</t>
  </si>
  <si>
    <t>Cumulative Timing Difference</t>
  </si>
  <si>
    <t>CY Timing Difference</t>
  </si>
  <si>
    <t>Tax Rate</t>
  </si>
  <si>
    <t>Pool Rate</t>
  </si>
  <si>
    <t>Cumulative Deferred Tax</t>
  </si>
  <si>
    <t>Annual Adjustment</t>
  </si>
  <si>
    <t>Annual Adjustment @ Pool Rate</t>
  </si>
  <si>
    <t>Excess Tax Reserve</t>
  </si>
  <si>
    <t>Adjustment for DTAs</t>
  </si>
  <si>
    <t>Excess Tax Reserve After NOL and DTA</t>
  </si>
  <si>
    <t>Cumulative EDT</t>
  </si>
  <si>
    <t>Cumulative EDT after NOL and DTA</t>
  </si>
  <si>
    <t>Gross Up Factor</t>
  </si>
  <si>
    <t xml:space="preserve">Regulatory Tax Liability </t>
  </si>
  <si>
    <t>Annual Adjustment @ 21 pct</t>
  </si>
  <si>
    <t>n</t>
  </si>
  <si>
    <t>p</t>
  </si>
  <si>
    <t>r</t>
  </si>
  <si>
    <t>s</t>
  </si>
  <si>
    <t>t</t>
  </si>
  <si>
    <t>u</t>
  </si>
  <si>
    <t>v</t>
  </si>
  <si>
    <t>w</t>
  </si>
  <si>
    <t>x</t>
  </si>
  <si>
    <t>y</t>
  </si>
  <si>
    <t>z</t>
  </si>
  <si>
    <t>aa</t>
  </si>
  <si>
    <t>ab</t>
  </si>
  <si>
    <t>ac</t>
  </si>
  <si>
    <t>ad</t>
  </si>
  <si>
    <t>ae</t>
  </si>
  <si>
    <t>af</t>
  </si>
  <si>
    <t>ag</t>
  </si>
  <si>
    <t>ah</t>
  </si>
  <si>
    <t>ai</t>
  </si>
  <si>
    <t>aj</t>
  </si>
  <si>
    <t>ak</t>
  </si>
  <si>
    <t>al</t>
  </si>
  <si>
    <t>am</t>
  </si>
  <si>
    <t>an</t>
  </si>
  <si>
    <t>ao</t>
  </si>
  <si>
    <t>Reg Asset</t>
  </si>
  <si>
    <t>or Liability</t>
  </si>
  <si>
    <t>Amortization</t>
  </si>
  <si>
    <t>Period</t>
  </si>
  <si>
    <t>10 yr/ARAM</t>
  </si>
  <si>
    <t>10 years</t>
  </si>
  <si>
    <t>Yes</t>
  </si>
  <si>
    <t>Value at 12/31/2017</t>
  </si>
  <si>
    <t>WP EADIT ALLOCATORS</t>
  </si>
  <si>
    <t>Workpaper - EADIT Allocators</t>
  </si>
  <si>
    <t>Protected Excess ADIT Allocators</t>
  </si>
  <si>
    <t>Unprotected Excess ADIT Allocators</t>
  </si>
  <si>
    <t>WP LNS Allocator at 20a</t>
  </si>
  <si>
    <t>WP LNS ALLOCATOR</t>
  </si>
  <si>
    <t>Workpaper - LNS Allocator</t>
  </si>
  <si>
    <t>2018-2019 Annual Update, Exh. 6 at 47a</t>
  </si>
  <si>
    <t>WP Unprotected EADIT Amortization at 6a * WP EADIT Allocators at 7a</t>
  </si>
  <si>
    <t>BHD Excess ADIT Attributable to LNS (neg)</t>
  </si>
  <si>
    <t>MPD Excess ADIT Attributable to LNS (neg)</t>
  </si>
  <si>
    <t>Account No. 190 exclusive of deferred income taxes associated with stranded costs, retail rate-making, affiliated companies, or any ASC-740 amounts</t>
  </si>
  <si>
    <t>All Transmission</t>
  </si>
  <si>
    <t>Sum Column E</t>
  </si>
  <si>
    <t>Figures in Columns A and D correspond to values in WP ADIT of BHD 2018-2019 Implemented Charges file per 5/24/2019 Settlement with MPUC</t>
  </si>
  <si>
    <t>Figure in Column B equals figure in Column A / 1a * 1b or / 3a * 3b, as applicable.</t>
  </si>
  <si>
    <t>Workpaper Amortization Study Run Out</t>
  </si>
  <si>
    <t>WP AMORTIZATION STUDY RUN OUT</t>
  </si>
  <si>
    <t>WP WP Amortization Study Run Out Row 13 (year) * WP EADIT Allocators at 2a</t>
  </si>
  <si>
    <t>WP Amortization Study Run Out at 16a</t>
  </si>
  <si>
    <t>T/D Allocator</t>
  </si>
  <si>
    <t>Value to Exhibit 5 at 6.3a</t>
  </si>
  <si>
    <t>Prior Year, WP EADIT Amortization, Line 23</t>
  </si>
  <si>
    <t>5c * 6c</t>
  </si>
  <si>
    <t>WP BHD EADIT Attributable to LNS at 151e</t>
  </si>
  <si>
    <t>WP MPD EADIT Attributable to LNS at 151e</t>
  </si>
  <si>
    <t>Workpaper BHD EADIT Attributable to LNS</t>
  </si>
  <si>
    <t>WP BHD EADIT ATTRIBUTABLE TO LNS</t>
  </si>
  <si>
    <t>WP MPD EADIT ATTRIBUTABLE TO LNS</t>
  </si>
  <si>
    <t>8c = 3a / 12; 8d = 4a /12</t>
  </si>
  <si>
    <t>FF1 at 330:n</t>
  </si>
  <si>
    <t>ACTUAL WHOLESALE TRANSMISSION REVENUE REQUIREMENT</t>
  </si>
  <si>
    <t>Actual Retail Transmission Revenue Requirement</t>
  </si>
  <si>
    <t>SCHEDULING, SYSTEM CONTROL &amp; DISPATCHING SERVICE COSTS</t>
  </si>
  <si>
    <t>Filed Gross Plant</t>
  </si>
  <si>
    <t>Settled Gross Plant</t>
  </si>
  <si>
    <t>Adjust Accumulated Depreciation as follows</t>
  </si>
  <si>
    <t>Adjustment to Depreciation Expense</t>
  </si>
  <si>
    <t>Adjustment to BOY/EOY Average ADIT</t>
  </si>
  <si>
    <t>Adjustments in respect of settled amount recorded to Line 6901</t>
  </si>
  <si>
    <t>Account No. 190 - Subject to MPD Plant Allocation</t>
  </si>
  <si>
    <t>Net Operating Loss</t>
  </si>
  <si>
    <t>VERSANT POWER – MAINE PUBLIC DISTRICT OATT</t>
  </si>
  <si>
    <t>Removed from from Transmission Rate Base for Dec 2019 - April 2020</t>
  </si>
  <si>
    <t>SNO General Service (Contract)</t>
  </si>
  <si>
    <t>SL2 Street Lighting Service</t>
  </si>
  <si>
    <t>RATE YEAR JUNE 1, 2020 TO MAY 31, 2021</t>
  </si>
  <si>
    <t>Actual ATRR &amp; CHARGES BASED ON ACTUAL CY 2020 VALUES</t>
  </si>
  <si>
    <t>Terraform (Evergreen)</t>
  </si>
  <si>
    <t>Houlton Water Company</t>
  </si>
  <si>
    <t xml:space="preserve">                             -   </t>
  </si>
  <si>
    <t xml:space="preserve">                            -   </t>
  </si>
  <si>
    <t>2018-2019</t>
  </si>
  <si>
    <t>2019-2020</t>
  </si>
  <si>
    <t>Transaction Cost Settlement</t>
  </si>
  <si>
    <t>Miscellaneous Corrections</t>
  </si>
  <si>
    <t>Settlement ER15-1429, 3/12/20</t>
  </si>
  <si>
    <t>Street &amp; Area Lighting (SL, T, SL2)</t>
  </si>
  <si>
    <t>PTP Refunds</t>
  </si>
  <si>
    <t>Prepaid IT Support Costs</t>
  </si>
  <si>
    <t>Exhibit 10 at 4a</t>
  </si>
  <si>
    <t>11a + 13a</t>
  </si>
  <si>
    <t>= 14a * c</t>
  </si>
  <si>
    <t>Sum [15:23]</t>
  </si>
  <si>
    <t>Sum [24r:26.2r]</t>
  </si>
  <si>
    <t>a: 3b, b: 10b, c: 8b, d: 3d + 8d + 10d</t>
  </si>
  <si>
    <t>a: 3c, b: 10c, c: 8c, d: 3e + 8e + 10e</t>
  </si>
  <si>
    <t>WP EADIT Amortization, 7c</t>
  </si>
  <si>
    <t>WP EADIT Amortization, 11a:23a</t>
  </si>
  <si>
    <t>WP EADIT Amortization, 11b:23b</t>
  </si>
  <si>
    <t>WP LNS Allocator at 11a</t>
  </si>
  <si>
    <t>WP Deferred Tax Asset/Liability Detail at 119d</t>
  </si>
  <si>
    <t>Sum 1e:117e</t>
  </si>
  <si>
    <t>WP DTA(L) Detail at 1e</t>
  </si>
  <si>
    <t>WP DTA(L) Detail at 44e * (1 - 7a)</t>
  </si>
  <si>
    <t>WP DTA(L) Detail at 2e</t>
  </si>
  <si>
    <t>WP DTA(L) Detail at 3e</t>
  </si>
  <si>
    <t>WP DTA(L) Detail at 44e * 7a</t>
  </si>
  <si>
    <t>1a / 5a</t>
  </si>
  <si>
    <t>1 - 7a - 8a</t>
  </si>
  <si>
    <t>8a / (8a + 9a)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</si>
</sst>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_(* #,##0.000000_);_(* \(#,##0.000000\);_(* &quot;-&quot;??_);_(@_)"/>
    <numFmt numFmtId="208" formatCode="[$-409]mmmm\ d\,\ yyyy;@"/>
    <numFmt numFmtId="209" formatCode="[$-409]d\-mmm\-yy;@"/>
    <numFmt numFmtId="210" formatCode="_-* #,##0.00\ [$€]_-;\-* #,##0.00\ [$€]_-;_-* &quot;-&quot;??\ [$€]_-;_-@_-"/>
    <numFmt numFmtId="211" formatCode="0.00_);\(0.00\)"/>
  </numFmts>
  <fonts count="136">
    <font>
      <sz val="12"/>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u/>
      <sz val="11"/>
      <color theme="1"/>
      <name val="Arial"/>
      <family val="2"/>
    </font>
    <font>
      <sz val="11"/>
      <color rgb="FF000000"/>
      <name val="Arial"/>
      <family val="2"/>
    </font>
    <font>
      <i/>
      <sz val="11"/>
      <color rgb="FFFF0000"/>
      <name val="Arial"/>
      <family val="2"/>
    </font>
    <font>
      <sz val="11"/>
      <color rgb="FFFF0000"/>
      <name val="Arial"/>
      <family val="2"/>
    </font>
    <font>
      <b/>
      <sz val="11"/>
      <color rgb="FF000000"/>
      <name val="Arial"/>
      <family val="2"/>
    </font>
    <font>
      <sz val="11"/>
      <name val="Calibri"/>
      <family val="2"/>
      <scheme val="minor"/>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s>
  <fills count="75">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s>
  <cellStyleXfs count="41281">
    <xf numFmtId="0" fontId="0" fillId="0" borderId="0"/>
    <xf numFmtId="9" fontId="130" fillId="0" borderId="0" applyFont="0" applyFill="0" applyBorder="0" applyAlignment="0" applyProtection="0"/>
    <xf numFmtId="44" fontId="130" fillId="0" borderId="0" applyFont="0" applyFill="0" applyBorder="0" applyAlignment="0" applyProtection="0"/>
    <xf numFmtId="42" fontId="2" fillId="0" borderId="0" applyFont="0" applyFill="0" applyBorder="0" applyAlignment="0" applyProtection="0"/>
    <xf numFmtId="43" fontId="130" fillId="0" borderId="0" applyFont="0" applyFill="0" applyBorder="0" applyAlignment="0" applyProtection="0"/>
    <xf numFmtId="41" fontId="2" fillId="0" borderId="0" applyFont="0" applyFill="0" applyBorder="0" applyAlignment="0" applyProtection="0"/>
    <xf numFmtId="0" fontId="130"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130" fillId="0" borderId="0"/>
    <xf numFmtId="0" fontId="15"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2" fillId="0" borderId="0"/>
    <xf numFmtId="0" fontId="2" fillId="0" borderId="0"/>
    <xf numFmtId="0" fontId="17" fillId="0" borderId="0"/>
    <xf numFmtId="0" fontId="2" fillId="0" borderId="0"/>
    <xf numFmtId="0" fontId="1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3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30"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30"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30" fillId="0" borderId="0"/>
    <xf numFmtId="0" fontId="111" fillId="0" borderId="0" applyNumberFormat="0" applyFill="0" applyBorder="0">
      <protection locked="0"/>
    </xf>
    <xf numFmtId="37" fontId="130"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30"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0" fillId="0" borderId="0" applyFont="0" applyFill="0" applyBorder="0" applyAlignment="0" applyProtection="0"/>
    <xf numFmtId="0" fontId="130" fillId="0" borderId="0"/>
    <xf numFmtId="44" fontId="130"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4"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130" fillId="0" borderId="0"/>
    <xf numFmtId="43" fontId="130" fillId="0" borderId="0" applyFont="0" applyFill="0" applyBorder="0" applyAlignment="0" applyProtection="0"/>
    <xf numFmtId="43" fontId="130" fillId="0" borderId="0" applyFont="0" applyFill="0" applyBorder="0" applyAlignment="0" applyProtection="0"/>
    <xf numFmtId="0" fontId="130" fillId="0" borderId="0"/>
    <xf numFmtId="9" fontId="130" fillId="0" borderId="0" applyFont="0" applyFill="0" applyBorder="0" applyAlignment="0" applyProtection="0"/>
    <xf numFmtId="43" fontId="130" fillId="0" borderId="0" applyFont="0" applyFill="0" applyBorder="0" applyAlignment="0" applyProtection="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0" fontId="130" fillId="0" borderId="0"/>
    <xf numFmtId="43" fontId="130"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30"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30" fillId="0" borderId="0"/>
    <xf numFmtId="44" fontId="2" fillId="0" borderId="0" applyFont="0" applyFill="0" applyBorder="0" applyAlignment="0" applyProtection="0"/>
    <xf numFmtId="0" fontId="130" fillId="0" borderId="0"/>
    <xf numFmtId="0" fontId="130" fillId="0" borderId="0"/>
    <xf numFmtId="0" fontId="130" fillId="0" borderId="0"/>
    <xf numFmtId="0" fontId="13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30"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30" fillId="0" borderId="0"/>
    <xf numFmtId="0" fontId="130"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0" fillId="0" borderId="0"/>
    <xf numFmtId="0" fontId="130" fillId="0" borderId="0"/>
    <xf numFmtId="43" fontId="2" fillId="0" borderId="0" applyFont="0" applyFill="0" applyBorder="0" applyAlignment="0" applyProtection="0"/>
    <xf numFmtId="9" fontId="2" fillId="0" borderId="0" applyFont="0" applyFill="0" applyBorder="0" applyAlignment="0" applyProtection="0"/>
    <xf numFmtId="0" fontId="130"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0" fillId="0" borderId="0"/>
    <xf numFmtId="0" fontId="130" fillId="0" borderId="0"/>
    <xf numFmtId="0" fontId="130"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8"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9" fontId="7" fillId="51" borderId="0" applyNumberFormat="0" applyBorder="0" applyAlignment="0" applyProtection="0"/>
    <xf numFmtId="208" fontId="131"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8"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3" borderId="0" applyNumberFormat="0" applyBorder="0" applyAlignment="0" applyProtection="0"/>
    <xf numFmtId="0" fontId="7" fillId="53" borderId="0" applyNumberFormat="0" applyBorder="0" applyAlignment="0" applyProtection="0"/>
    <xf numFmtId="209" fontId="7" fillId="53" borderId="0" applyNumberFormat="0" applyBorder="0" applyAlignment="0" applyProtection="0"/>
    <xf numFmtId="208" fontId="131"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4" borderId="0" applyNumberFormat="0" applyBorder="0" applyAlignment="0" applyProtection="0"/>
    <xf numFmtId="0" fontId="7" fillId="54" borderId="0" applyNumberFormat="0" applyBorder="0" applyAlignment="0" applyProtection="0"/>
    <xf numFmtId="209" fontId="7" fillId="54" borderId="0" applyNumberFormat="0" applyBorder="0" applyAlignment="0" applyProtection="0"/>
    <xf numFmtId="208" fontId="131"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8"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9" fontId="7" fillId="55"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8" fontId="7" fillId="56" borderId="0" applyNumberFormat="0" applyBorder="0" applyAlignment="0" applyProtection="0"/>
    <xf numFmtId="167" fontId="7" fillId="56" borderId="0" applyNumberFormat="0" applyBorder="0" applyAlignment="0" applyProtection="0"/>
    <xf numFmtId="0" fontId="131" fillId="56" borderId="0" applyNumberFormat="0" applyBorder="0" applyAlignment="0" applyProtection="0"/>
    <xf numFmtId="208" fontId="131" fillId="56" borderId="0" applyNumberFormat="0" applyBorder="0" applyAlignment="0" applyProtection="0"/>
    <xf numFmtId="0" fontId="7" fillId="56" borderId="0" applyNumberFormat="0" applyBorder="0" applyAlignment="0" applyProtection="0"/>
    <xf numFmtId="209" fontId="7" fillId="56" borderId="0" applyNumberFormat="0" applyBorder="0" applyAlignment="0" applyProtection="0"/>
    <xf numFmtId="208" fontId="131"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8" fontId="7" fillId="57" borderId="0" applyNumberFormat="0" applyBorder="0" applyAlignment="0" applyProtection="0"/>
    <xf numFmtId="167" fontId="7" fillId="57" borderId="0" applyNumberFormat="0" applyBorder="0" applyAlignment="0" applyProtection="0"/>
    <xf numFmtId="0" fontId="131" fillId="57" borderId="0" applyNumberFormat="0" applyBorder="0" applyAlignment="0" applyProtection="0"/>
    <xf numFmtId="208" fontId="131" fillId="57" borderId="0" applyNumberFormat="0" applyBorder="0" applyAlignment="0" applyProtection="0"/>
    <xf numFmtId="0" fontId="7" fillId="57" borderId="0" applyNumberFormat="0" applyBorder="0" applyAlignment="0" applyProtection="0"/>
    <xf numFmtId="209" fontId="7" fillId="57" borderId="0" applyNumberFormat="0" applyBorder="0" applyAlignment="0" applyProtection="0"/>
    <xf numFmtId="208" fontId="131"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8"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167" fontId="7" fillId="50"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209" fontId="7"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8"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9" borderId="0" applyNumberFormat="0" applyBorder="0" applyAlignment="0" applyProtection="0"/>
    <xf numFmtId="0" fontId="7" fillId="59" borderId="0" applyNumberFormat="0" applyBorder="0" applyAlignment="0" applyProtection="0"/>
    <xf numFmtId="209" fontId="7" fillId="59" borderId="0" applyNumberFormat="0" applyBorder="0" applyAlignment="0" applyProtection="0"/>
    <xf numFmtId="208" fontId="131"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9" fontId="7" fillId="50" borderId="0" applyNumberFormat="0" applyBorder="0" applyAlignment="0" applyProtection="0"/>
    <xf numFmtId="208" fontId="131"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8"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167" fontId="7" fillId="50"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209" fontId="7" fillId="55"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8" fontId="7" fillId="58" borderId="0" applyNumberFormat="0" applyBorder="0" applyAlignment="0" applyProtection="0"/>
    <xf numFmtId="167" fontId="7" fillId="58" borderId="0" applyNumberFormat="0" applyBorder="0" applyAlignment="0" applyProtection="0"/>
    <xf numFmtId="0" fontId="131"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209" fontId="7"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8"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9" fontId="7" fillId="60" borderId="0" applyNumberFormat="0" applyBorder="0" applyAlignment="0" applyProtection="0"/>
    <xf numFmtId="208" fontId="131"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8"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208" fontId="78" fillId="62" borderId="0" applyNumberFormat="0" applyBorder="0" applyAlignment="0" applyProtection="0"/>
    <xf numFmtId="0" fontId="8" fillId="62" borderId="0" applyNumberFormat="0" applyBorder="0" applyAlignment="0" applyProtection="0"/>
    <xf numFmtId="209" fontId="8" fillId="62" borderId="0" applyNumberFormat="0" applyBorder="0" applyAlignment="0" applyProtection="0"/>
    <xf numFmtId="208"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8"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59" borderId="0" applyNumberFormat="0" applyBorder="0" applyAlignment="0" applyProtection="0"/>
    <xf numFmtId="0" fontId="8" fillId="59" borderId="0" applyNumberFormat="0" applyBorder="0" applyAlignment="0" applyProtection="0"/>
    <xf numFmtId="209" fontId="8" fillId="59" borderId="0" applyNumberFormat="0" applyBorder="0" applyAlignment="0" applyProtection="0"/>
    <xf numFmtId="208"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50" borderId="0" applyNumberFormat="0" applyBorder="0" applyAlignment="0" applyProtection="0"/>
    <xf numFmtId="0" fontId="8" fillId="50" borderId="0" applyNumberFormat="0" applyBorder="0" applyAlignment="0" applyProtection="0"/>
    <xf numFmtId="209" fontId="8" fillId="50" borderId="0" applyNumberFormat="0" applyBorder="0" applyAlignment="0" applyProtection="0"/>
    <xf numFmtId="208"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8"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8" fontId="8" fillId="63" borderId="0" applyNumberFormat="0" applyBorder="0" applyAlignment="0" applyProtection="0"/>
    <xf numFmtId="167" fontId="8" fillId="63"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209" fontId="8" fillId="64"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209" fontId="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8"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8" fontId="8" fillId="57" borderId="0" applyNumberFormat="0" applyBorder="0" applyAlignment="0" applyProtection="0"/>
    <xf numFmtId="167" fontId="8" fillId="57" borderId="0" applyNumberFormat="0" applyBorder="0" applyAlignment="0" applyProtection="0"/>
    <xf numFmtId="208" fontId="78" fillId="65" borderId="0" applyNumberFormat="0" applyBorder="0" applyAlignment="0" applyProtection="0"/>
    <xf numFmtId="0" fontId="8" fillId="65" borderId="0" applyNumberFormat="0" applyBorder="0" applyAlignment="0" applyProtection="0"/>
    <xf numFmtId="209" fontId="8" fillId="65" borderId="0" applyNumberFormat="0" applyBorder="0" applyAlignment="0" applyProtection="0"/>
    <xf numFmtId="208"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8" fontId="8" fillId="61" borderId="0" applyNumberFormat="0" applyBorder="0" applyAlignment="0" applyProtection="0"/>
    <xf numFmtId="167" fontId="8" fillId="66"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8" fontId="78" fillId="66" borderId="0" applyNumberFormat="0" applyBorder="0" applyAlignment="0" applyProtection="0"/>
    <xf numFmtId="0" fontId="8" fillId="66" borderId="0" applyNumberFormat="0" applyBorder="0" applyAlignment="0" applyProtection="0"/>
    <xf numFmtId="209" fontId="8" fillId="66" borderId="0" applyNumberFormat="0" applyBorder="0" applyAlignment="0" applyProtection="0"/>
    <xf numFmtId="208"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8"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67" borderId="0" applyNumberFormat="0" applyBorder="0" applyAlignment="0" applyProtection="0"/>
    <xf numFmtId="0" fontId="8" fillId="67" borderId="0" applyNumberFormat="0" applyBorder="0" applyAlignment="0" applyProtection="0"/>
    <xf numFmtId="209" fontId="8" fillId="67" borderId="0" applyNumberFormat="0" applyBorder="0" applyAlignment="0" applyProtection="0"/>
    <xf numFmtId="208"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68" borderId="0" applyNumberFormat="0" applyBorder="0" applyAlignment="0" applyProtection="0"/>
    <xf numFmtId="0" fontId="8" fillId="68" borderId="0" applyNumberFormat="0" applyBorder="0" applyAlignment="0" applyProtection="0"/>
    <xf numFmtId="209" fontId="8" fillId="68" borderId="0" applyNumberFormat="0" applyBorder="0" applyAlignment="0" applyProtection="0"/>
    <xf numFmtId="208"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8" fontId="8" fillId="69" borderId="0" applyNumberFormat="0" applyBorder="0" applyAlignment="0" applyProtection="0"/>
    <xf numFmtId="167" fontId="8" fillId="64" borderId="0" applyNumberFormat="0" applyBorder="0" applyAlignment="0" applyProtection="0"/>
    <xf numFmtId="208"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209" fontId="8" fillId="64"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209" fontId="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8"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8" fontId="78" fillId="70" borderId="0" applyNumberFormat="0" applyBorder="0" applyAlignment="0" applyProtection="0"/>
    <xf numFmtId="0" fontId="8" fillId="70" borderId="0" applyNumberFormat="0" applyBorder="0" applyAlignment="0" applyProtection="0"/>
    <xf numFmtId="209" fontId="8" fillId="70" borderId="0" applyNumberFormat="0" applyBorder="0" applyAlignment="0" applyProtection="0"/>
    <xf numFmtId="208"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8"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8" fontId="79" fillId="53" borderId="0" applyNumberFormat="0" applyBorder="0" applyAlignment="0" applyProtection="0"/>
    <xf numFmtId="0" fontId="9" fillId="53" borderId="0" applyNumberFormat="0" applyBorder="0" applyAlignment="0" applyProtection="0"/>
    <xf numFmtId="209" fontId="9" fillId="53" borderId="0" applyNumberFormat="0" applyBorder="0" applyAlignment="0" applyProtection="0"/>
    <xf numFmtId="208"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8" fontId="12" fillId="71" borderId="3" applyNumberFormat="0" applyAlignment="0" applyProtection="0"/>
    <xf numFmtId="167" fontId="12" fillId="71" borderId="3" applyNumberFormat="0" applyAlignment="0" applyProtection="0"/>
    <xf numFmtId="208" fontId="81" fillId="63" borderId="3" applyNumberFormat="0" applyAlignment="0" applyProtection="0"/>
    <xf numFmtId="0" fontId="12" fillId="63" borderId="3" applyNumberFormat="0" applyAlignment="0" applyProtection="0"/>
    <xf numFmtId="209" fontId="12" fillId="63" borderId="3" applyNumberFormat="0" applyAlignment="0" applyProtection="0"/>
    <xf numFmtId="208"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8"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8" fontId="82" fillId="72" borderId="4" applyNumberFormat="0" applyAlignment="0" applyProtection="0"/>
    <xf numFmtId="0" fontId="13" fillId="72" borderId="4" applyNumberFormat="0" applyAlignment="0" applyProtection="0"/>
    <xf numFmtId="209" fontId="13" fillId="72" borderId="4" applyNumberFormat="0" applyAlignment="0" applyProtection="0"/>
    <xf numFmtId="208"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8"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8" fontId="84" fillId="0" borderId="0" applyNumberFormat="0" applyFill="0" applyBorder="0" applyAlignment="0" applyProtection="0"/>
    <xf numFmtId="0" fontId="22" fillId="0" borderId="0" applyNumberFormat="0" applyFill="0" applyBorder="0" applyAlignment="0" applyProtection="0"/>
    <xf numFmtId="209" fontId="22" fillId="0" borderId="0" applyNumberFormat="0" applyFill="0" applyBorder="0" applyAlignment="0" applyProtection="0"/>
    <xf numFmtId="208"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8"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8" fontId="85" fillId="54" borderId="0" applyNumberFormat="0" applyBorder="0" applyAlignment="0" applyProtection="0"/>
    <xf numFmtId="0" fontId="23" fillId="54" borderId="0" applyNumberFormat="0" applyBorder="0" applyAlignment="0" applyProtection="0"/>
    <xf numFmtId="209" fontId="23" fillId="54" borderId="0" applyNumberFormat="0" applyBorder="0" applyAlignment="0" applyProtection="0"/>
    <xf numFmtId="208"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5" applyNumberFormat="0" applyFill="0">
      <alignment horizontal="centerContinuous" vertical="top"/>
    </xf>
    <xf numFmtId="0" fontId="87" fillId="0" borderId="35" applyNumberFormat="0" applyFill="0">
      <alignment horizontal="centerContinuous" vertical="top"/>
    </xf>
    <xf numFmtId="208" fontId="90" fillId="0" borderId="25" applyNumberFormat="0" applyFill="0" applyAlignment="0" applyProtection="0"/>
    <xf numFmtId="167" fontId="112" fillId="0" borderId="24" applyNumberFormat="0" applyFill="0" applyAlignment="0" applyProtection="0"/>
    <xf numFmtId="208"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8" fontId="89" fillId="0" borderId="24" applyNumberFormat="0" applyFill="0" applyAlignment="0" applyProtection="0"/>
    <xf numFmtId="0" fontId="112" fillId="0" borderId="24" applyNumberFormat="0" applyFill="0" applyAlignment="0" applyProtection="0"/>
    <xf numFmtId="209" fontId="112" fillId="0" borderId="24" applyNumberFormat="0" applyFill="0" applyAlignment="0" applyProtection="0"/>
    <xf numFmtId="208"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8" fontId="92" fillId="0" borderId="26" applyNumberFormat="0" applyFill="0" applyAlignment="0" applyProtection="0"/>
    <xf numFmtId="167" fontId="113" fillId="0" borderId="26" applyNumberFormat="0" applyFill="0" applyAlignment="0" applyProtection="0"/>
    <xf numFmtId="208"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8" fontId="91" fillId="0" borderId="26" applyNumberFormat="0" applyFill="0" applyAlignment="0" applyProtection="0"/>
    <xf numFmtId="0" fontId="113" fillId="0" borderId="26" applyNumberFormat="0" applyFill="0" applyAlignment="0" applyProtection="0"/>
    <xf numFmtId="209" fontId="113" fillId="0" borderId="26" applyNumberFormat="0" applyFill="0" applyAlignment="0" applyProtection="0"/>
    <xf numFmtId="208"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8"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9" fontId="26" fillId="0" borderId="6" applyNumberFormat="0" applyFill="0" applyAlignment="0" applyProtection="0"/>
    <xf numFmtId="208"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8"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8" fontId="94" fillId="0" borderId="0" applyNumberFormat="0" applyFill="0" applyBorder="0" applyAlignment="0" applyProtection="0"/>
    <xf numFmtId="167" fontId="94" fillId="0" borderId="0" applyNumberFormat="0" applyFill="0" applyBorder="0" applyAlignment="0" applyProtection="0"/>
    <xf numFmtId="208" fontId="93" fillId="0" borderId="0" applyNumberFormat="0" applyFill="0" applyBorder="0" applyAlignment="0" applyProtection="0"/>
    <xf numFmtId="0" fontId="26" fillId="0" borderId="0" applyNumberFormat="0" applyFill="0" applyBorder="0" applyAlignment="0" applyProtection="0"/>
    <xf numFmtId="209" fontId="26" fillId="0" borderId="0" applyNumberFormat="0" applyFill="0" applyBorder="0" applyAlignment="0" applyProtection="0"/>
    <xf numFmtId="208"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8"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8" fontId="98" fillId="0" borderId="10" applyNumberFormat="0" applyFill="0" applyAlignment="0" applyProtection="0"/>
    <xf numFmtId="0" fontId="30" fillId="0" borderId="10" applyNumberFormat="0" applyFill="0" applyAlignment="0" applyProtection="0"/>
    <xf numFmtId="209" fontId="30" fillId="0" borderId="10" applyNumberFormat="0" applyFill="0" applyAlignment="0" applyProtection="0"/>
    <xf numFmtId="208"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8"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8" fontId="100" fillId="73" borderId="0" applyNumberFormat="0" applyBorder="0" applyAlignment="0" applyProtection="0"/>
    <xf numFmtId="0" fontId="31" fillId="73" borderId="0" applyNumberFormat="0" applyBorder="0" applyAlignment="0" applyProtection="0"/>
    <xf numFmtId="209" fontId="31" fillId="73" borderId="0" applyNumberFormat="0" applyBorder="0" applyAlignment="0" applyProtection="0"/>
    <xf numFmtId="208"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8" fontId="16" fillId="0" borderId="0"/>
    <xf numFmtId="0" fontId="17" fillId="0" borderId="0"/>
    <xf numFmtId="0" fontId="16" fillId="0" borderId="0"/>
    <xf numFmtId="0" fontId="2" fillId="0" borderId="0"/>
    <xf numFmtId="0" fontId="118" fillId="0" borderId="0"/>
    <xf numFmtId="0" fontId="2" fillId="0" borderId="0"/>
    <xf numFmtId="0" fontId="2" fillId="0" borderId="0"/>
    <xf numFmtId="208"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30" fillId="0" borderId="0"/>
    <xf numFmtId="0" fontId="1" fillId="0" borderId="0"/>
    <xf numFmtId="0" fontId="16" fillId="0" borderId="0"/>
    <xf numFmtId="0" fontId="2" fillId="0" borderId="0"/>
    <xf numFmtId="0" fontId="130" fillId="0" borderId="0"/>
    <xf numFmtId="0" fontId="130" fillId="0" borderId="0"/>
    <xf numFmtId="166" fontId="2" fillId="0" borderId="0"/>
    <xf numFmtId="0" fontId="2" fillId="0" borderId="0"/>
    <xf numFmtId="0" fontId="4" fillId="0" borderId="0"/>
    <xf numFmtId="0" fontId="130" fillId="0" borderId="0"/>
    <xf numFmtId="0" fontId="1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8"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8"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5"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30"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8" fontId="2" fillId="0" borderId="0"/>
    <xf numFmtId="0" fontId="1" fillId="0" borderId="0"/>
    <xf numFmtId="0" fontId="1" fillId="0" borderId="0"/>
    <xf numFmtId="208"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2" fillId="0" borderId="0"/>
    <xf numFmtId="0" fontId="130"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30" fillId="0" borderId="0"/>
    <xf numFmtId="167" fontId="2" fillId="0" borderId="0"/>
    <xf numFmtId="0" fontId="130" fillId="0" borderId="0"/>
    <xf numFmtId="167"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8"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74" borderId="12" applyNumberFormat="0" applyFont="0" applyAlignment="0" applyProtection="0"/>
    <xf numFmtId="208"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8"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8"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8"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8" fontId="36" fillId="71" borderId="13" applyNumberFormat="0" applyAlignment="0" applyProtection="0"/>
    <xf numFmtId="167" fontId="36" fillId="71" borderId="13" applyNumberFormat="0" applyAlignment="0" applyProtection="0"/>
    <xf numFmtId="208" fontId="103" fillId="63" borderId="13" applyNumberFormat="0" applyAlignment="0" applyProtection="0"/>
    <xf numFmtId="0" fontId="36" fillId="63" borderId="13" applyNumberFormat="0" applyAlignment="0" applyProtection="0"/>
    <xf numFmtId="209" fontId="36" fillId="63" borderId="13" applyNumberFormat="0" applyAlignment="0" applyProtection="0"/>
    <xf numFmtId="208"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8"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8"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8" fontId="39" fillId="39" borderId="14"/>
    <xf numFmtId="208" fontId="39" fillId="39" borderId="14"/>
    <xf numFmtId="167" fontId="40" fillId="30" borderId="14"/>
    <xf numFmtId="0" fontId="39" fillId="39" borderId="14"/>
    <xf numFmtId="208"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8" fontId="39" fillId="0" borderId="0" applyBorder="0">
      <alignment horizontal="centerContinuous"/>
    </xf>
    <xf numFmtId="208"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8"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8" fontId="105" fillId="0" borderId="0" applyBorder="0">
      <alignment horizontal="centerContinuous"/>
    </xf>
    <xf numFmtId="208"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32" fillId="0" borderId="0" applyFont="0" applyFill="0" applyBorder="0" applyAlignment="0" applyProtection="0"/>
    <xf numFmtId="0" fontId="10" fillId="0" borderId="35">
      <alignment horizontal="center"/>
    </xf>
    <xf numFmtId="0" fontId="10" fillId="0" borderId="35">
      <alignment horizontal="center"/>
    </xf>
    <xf numFmtId="0" fontId="51" fillId="0" borderId="0" applyNumberFormat="0" applyFill="0" applyBorder="0" applyAlignment="0" applyProtection="0"/>
    <xf numFmtId="208"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8" fontId="108" fillId="0" borderId="0" applyNumberFormat="0" applyFill="0" applyBorder="0" applyAlignment="0" applyProtection="0"/>
    <xf numFmtId="167" fontId="108" fillId="0" borderId="0" applyNumberFormat="0" applyFill="0" applyBorder="0" applyAlignment="0" applyProtection="0"/>
    <xf numFmtId="208" fontId="51" fillId="0" borderId="0" applyNumberFormat="0" applyFill="0" applyBorder="0" applyAlignment="0" applyProtection="0"/>
    <xf numFmtId="209" fontId="51" fillId="0" borderId="0" applyNumberFormat="0" applyFill="0" applyBorder="0" applyAlignment="0" applyProtection="0"/>
    <xf numFmtId="208"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8" fontId="109" fillId="0" borderId="16" applyNumberFormat="0" applyFill="0" applyAlignment="0" applyProtection="0"/>
    <xf numFmtId="0" fontId="52" fillId="0" borderId="16" applyNumberFormat="0" applyFill="0" applyAlignment="0" applyProtection="0"/>
    <xf numFmtId="209" fontId="52" fillId="0" borderId="16" applyNumberFormat="0" applyFill="0" applyAlignment="0" applyProtection="0"/>
    <xf numFmtId="208"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8"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8" fontId="110" fillId="0" borderId="0" applyNumberFormat="0" applyFill="0" applyBorder="0" applyAlignment="0" applyProtection="0"/>
    <xf numFmtId="0" fontId="54" fillId="0" borderId="0" applyNumberFormat="0" applyFill="0" applyBorder="0" applyAlignment="0" applyProtection="0"/>
    <xf numFmtId="209" fontId="54" fillId="0" borderId="0" applyNumberFormat="0" applyFill="0" applyBorder="0" applyAlignment="0" applyProtection="0"/>
    <xf numFmtId="208"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958">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170" fontId="57" fillId="0" borderId="22" xfId="818" applyNumberFormat="1" applyFont="1" applyBorder="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70" fontId="57" fillId="0" borderId="22" xfId="818" applyNumberFormat="1" applyFont="1" applyFill="1" applyBorder="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0" fontId="57" fillId="0" borderId="22" xfId="0" applyFont="1" applyFill="1" applyBorder="1" applyAlignment="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170" fontId="63" fillId="0" borderId="0" xfId="818" applyNumberFormat="1" applyFont="1" applyAlignment="1" applyProtection="1">
      <alignment horizontal="center"/>
    </xf>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Alignment="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3" fillId="0" borderId="0" xfId="818" applyNumberFormat="1" applyFont="1" applyFill="1" applyAlignment="1" applyProtection="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68" fontId="41" fillId="41" borderId="11" xfId="0" applyNumberFormat="1" applyFont="1" applyFill="1" applyBorder="1" applyAlignment="1" applyProtection="1">
      <alignment horizontal="center"/>
    </xf>
    <xf numFmtId="0" fontId="57" fillId="41" borderId="0" xfId="0" quotePrefix="1" applyFont="1" applyFill="1"/>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0" xfId="1118" applyFont="1" applyFill="1" applyAlignment="1">
      <alignment vertical="center"/>
    </xf>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170" fontId="57" fillId="0" borderId="22" xfId="818" applyNumberFormat="1" applyFont="1" applyFill="1" applyBorder="1" applyProtection="1"/>
    <xf numFmtId="37" fontId="57" fillId="0" borderId="22" xfId="0" applyNumberFormat="1" applyFont="1" applyFill="1" applyBorder="1" applyAlignment="1" applyProtection="1">
      <alignment horizontal="center"/>
    </xf>
    <xf numFmtId="10" fontId="57" fillId="0" borderId="22" xfId="8465" applyNumberFormat="1" applyFont="1" applyFill="1" applyBorder="1" applyProtection="1"/>
    <xf numFmtId="176" fontId="57" fillId="0" borderId="22" xfId="0" applyNumberFormat="1" applyFont="1" applyBorder="1"/>
    <xf numFmtId="0" fontId="57" fillId="0" borderId="22" xfId="0" applyFont="1" applyBorder="1" applyAlignment="1" applyProtection="1">
      <alignment horizontal="left"/>
    </xf>
    <xf numFmtId="176" fontId="57" fillId="0" borderId="22" xfId="8464" applyNumberFormat="1" applyFont="1" applyBorder="1"/>
    <xf numFmtId="170" fontId="57" fillId="0" borderId="22" xfId="8463" applyNumberFormat="1" applyFont="1" applyBorder="1"/>
    <xf numFmtId="0" fontId="59" fillId="0" borderId="18" xfId="0" applyFont="1" applyFill="1" applyBorder="1"/>
    <xf numFmtId="0" fontId="57" fillId="0" borderId="22" xfId="0" applyFont="1" applyFill="1" applyBorder="1" applyAlignment="1" applyProtection="1">
      <alignment horizontal="left"/>
    </xf>
    <xf numFmtId="10" fontId="57" fillId="0" borderId="22" xfId="2001" applyNumberFormat="1" applyFont="1" applyFill="1" applyBorder="1" applyProtection="1"/>
    <xf numFmtId="0" fontId="57" fillId="0" borderId="22" xfId="0" applyFont="1" applyFill="1" applyBorder="1" applyAlignment="1" applyProtection="1"/>
    <xf numFmtId="38" fontId="57" fillId="0" borderId="22" xfId="0" applyNumberFormat="1" applyFont="1" applyFill="1" applyBorder="1" applyProtection="1"/>
    <xf numFmtId="38" fontId="57" fillId="0" borderId="22" xfId="0"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167" applyFont="1" applyFill="1" applyBorder="1" applyAlignment="1">
      <alignment vertical="top"/>
    </xf>
    <xf numFmtId="0" fontId="57" fillId="0" borderId="22" xfId="1130" applyFont="1" applyFill="1" applyBorder="1"/>
    <xf numFmtId="0" fontId="57" fillId="0" borderId="22" xfId="1167" applyFont="1" applyFill="1" applyBorder="1" applyAlignment="1"/>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61" fillId="40" borderId="11"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0" fontId="57" fillId="0" borderId="0" xfId="0" applyFont="1" applyFill="1"/>
    <xf numFmtId="0" fontId="61" fillId="0" borderId="11" xfId="1118" applyFont="1" applyFill="1" applyBorder="1" applyAlignment="1">
      <alignment horizontal="center"/>
    </xf>
    <xf numFmtId="170" fontId="61" fillId="0" borderId="0" xfId="818" applyNumberFormat="1" applyFont="1" applyFill="1" applyBorder="1"/>
    <xf numFmtId="170" fontId="57" fillId="41" borderId="1" xfId="8463" applyNumberFormat="1" applyFont="1" applyFill="1" applyBorder="1"/>
    <xf numFmtId="0" fontId="57" fillId="40" borderId="0" xfId="0" applyFont="1" applyFill="1" applyAlignment="1" applyProtection="1">
      <alignment horizontal="center"/>
    </xf>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70" fontId="61" fillId="0" borderId="0" xfId="0" applyNumberFormat="1" applyFont="1" applyFill="1" applyBorder="1" applyAlignment="1" applyProtection="1">
      <alignment horizontal="center"/>
    </xf>
    <xf numFmtId="170" fontId="61" fillId="0" borderId="11" xfId="0" applyNumberFormat="1" applyFont="1" applyFill="1" applyBorder="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applyFont="1" applyFill="1" applyBorder="1" applyAlignment="1">
      <alignment horizontal="center"/>
    </xf>
    <xf numFmtId="0" fontId="57" fillId="40" borderId="0" xfId="0"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22" xfId="0" applyNumberFormat="1" applyFont="1" applyFill="1" applyBorder="1" applyAlignment="1">
      <alignment horizontal="left"/>
    </xf>
    <xf numFmtId="170" fontId="57" fillId="0" borderId="22" xfId="0" applyNumberFormat="1" applyFont="1" applyFill="1" applyBorder="1"/>
    <xf numFmtId="10" fontId="57" fillId="0" borderId="22" xfId="0" applyNumberFormat="1" applyFont="1" applyFill="1" applyBorder="1"/>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0" fontId="57" fillId="0" borderId="22" xfId="0" applyFont="1" applyFill="1" applyBorder="1" applyAlignment="1" applyProtection="1">
      <alignment horizontal="center"/>
    </xf>
    <xf numFmtId="3" fontId="57" fillId="0" borderId="22" xfId="1167" applyNumberFormat="1" applyFont="1" applyFill="1" applyBorder="1" applyAlignment="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3" fontId="57" fillId="40" borderId="0" xfId="1167" applyNumberFormat="1" applyFont="1" applyFill="1" applyBorder="1" applyAlignment="1">
      <alignment horizontal="right"/>
    </xf>
    <xf numFmtId="183" fontId="57" fillId="40" borderId="0" xfId="1167" applyNumberFormat="1" applyFont="1" applyFill="1" applyBorder="1" applyAlignment="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0" fontId="57" fillId="0" borderId="0" xfId="0" applyFont="1"/>
    <xf numFmtId="170" fontId="57" fillId="0" borderId="0" xfId="0" applyNumberFormat="1" applyFont="1"/>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176" fontId="57" fillId="40" borderId="0" xfId="52" applyNumberFormat="1" applyFont="1" applyFill="1" applyBorder="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7" fillId="0" borderId="0" xfId="1118" applyFont="1" applyFill="1" applyBorder="1" applyAlignment="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6" fillId="0" borderId="0" xfId="0" applyFont="1"/>
    <xf numFmtId="14" fontId="67" fillId="0" borderId="0" xfId="0" applyNumberFormat="1" applyFont="1" applyAlignment="1">
      <alignment horizontal="left"/>
    </xf>
    <xf numFmtId="14" fontId="66" fillId="0" borderId="0" xfId="0" applyNumberFormat="1" applyFont="1" applyBorder="1"/>
    <xf numFmtId="176" fontId="66" fillId="0" borderId="0" xfId="0" applyNumberFormat="1" applyFont="1"/>
    <xf numFmtId="0" fontId="66" fillId="0" borderId="0" xfId="0" applyFont="1" applyFill="1"/>
    <xf numFmtId="176" fontId="57" fillId="0" borderId="0" xfId="0" applyNumberFormat="1" applyFont="1" applyFill="1"/>
    <xf numFmtId="0" fontId="63" fillId="0" borderId="0" xfId="1118" applyFont="1" applyFill="1" applyAlignment="1">
      <alignment horizontal="left" vertical="center"/>
    </xf>
    <xf numFmtId="170" fontId="63" fillId="0" borderId="0" xfId="818" applyNumberFormat="1" applyFont="1" applyFill="1"/>
    <xf numFmtId="0" fontId="66" fillId="0" borderId="18" xfId="0" applyFont="1" applyBorder="1"/>
    <xf numFmtId="0" fontId="66" fillId="0" borderId="0" xfId="0" applyFont="1" applyAlignment="1">
      <alignment horizontal="center"/>
    </xf>
    <xf numFmtId="0" fontId="66" fillId="0" borderId="0" xfId="0" applyFont="1" applyAlignment="1">
      <alignment horizontal="left"/>
    </xf>
    <xf numFmtId="176" fontId="57" fillId="40" borderId="0" xfId="0" applyNumberFormat="1" applyFont="1" applyFill="1"/>
    <xf numFmtId="176" fontId="66" fillId="40" borderId="0" xfId="0" applyNumberFormat="1" applyFont="1" applyFill="1"/>
    <xf numFmtId="10" fontId="57" fillId="40" borderId="0" xfId="0" applyNumberFormat="1" applyFont="1" applyFill="1"/>
    <xf numFmtId="17" fontId="57" fillId="0" borderId="0" xfId="0" applyNumberFormat="1" applyFont="1" applyFill="1" applyBorder="1" applyAlignment="1">
      <alignment horizontal="left"/>
    </xf>
    <xf numFmtId="0" fontId="66" fillId="0" borderId="22" xfId="0" applyFont="1" applyBorder="1"/>
    <xf numFmtId="176" fontId="57" fillId="40" borderId="22" xfId="0" applyNumberFormat="1" applyFont="1" applyFill="1" applyBorder="1"/>
    <xf numFmtId="10" fontId="57" fillId="40" borderId="0" xfId="1" applyNumberFormat="1" applyFont="1" applyFill="1"/>
    <xf numFmtId="0" fontId="66" fillId="0" borderId="22" xfId="0" applyFont="1" applyFill="1" applyBorder="1"/>
    <xf numFmtId="176" fontId="66" fillId="40" borderId="22" xfId="0" applyNumberFormat="1" applyFont="1" applyFill="1" applyBorder="1"/>
    <xf numFmtId="0" fontId="66" fillId="0" borderId="0" xfId="0" applyFont="1" applyFill="1" applyBorder="1"/>
    <xf numFmtId="0" fontId="61" fillId="0" borderId="11" xfId="6" applyFont="1" applyFill="1" applyBorder="1" applyAlignment="1">
      <alignment horizontal="left"/>
    </xf>
    <xf numFmtId="0" fontId="124" fillId="0" borderId="0" xfId="0" applyFont="1"/>
    <xf numFmtId="10" fontId="66" fillId="40" borderId="0" xfId="1" applyNumberFormat="1" applyFont="1" applyFill="1"/>
    <xf numFmtId="10" fontId="66" fillId="40" borderId="22" xfId="1" applyNumberFormat="1" applyFont="1" applyFill="1" applyBorder="1"/>
    <xf numFmtId="10" fontId="66" fillId="0" borderId="22" xfId="1" applyNumberFormat="1" applyFont="1" applyFill="1" applyBorder="1"/>
    <xf numFmtId="176" fontId="66" fillId="40" borderId="18" xfId="0" applyNumberFormat="1" applyFont="1" applyFill="1" applyBorder="1"/>
    <xf numFmtId="0" fontId="57" fillId="0" borderId="18" xfId="0" applyFont="1" applyFill="1" applyBorder="1"/>
    <xf numFmtId="176" fontId="57" fillId="40" borderId="0" xfId="4" applyNumberFormat="1" applyFont="1" applyFill="1"/>
    <xf numFmtId="176" fontId="57" fillId="40" borderId="11" xfId="4" applyNumberFormat="1" applyFont="1" applyFill="1" applyBorder="1"/>
    <xf numFmtId="176" fontId="57" fillId="40" borderId="0" xfId="4" applyNumberFormat="1" applyFont="1" applyFill="1" applyBorder="1"/>
    <xf numFmtId="176" fontId="57" fillId="40" borderId="18" xfId="4" applyNumberFormat="1" applyFont="1" applyFill="1" applyBorder="1"/>
    <xf numFmtId="0" fontId="66" fillId="0" borderId="11" xfId="0" applyFont="1" applyBorder="1"/>
    <xf numFmtId="0" fontId="66" fillId="0" borderId="1" xfId="0" applyFont="1" applyBorder="1"/>
    <xf numFmtId="0" fontId="66" fillId="0" borderId="1" xfId="0" applyFont="1" applyFill="1" applyBorder="1"/>
    <xf numFmtId="0" fontId="66" fillId="0" borderId="0" xfId="0" applyFont="1" applyAlignment="1"/>
    <xf numFmtId="0" fontId="66" fillId="0" borderId="0" xfId="0" applyFont="1"/>
    <xf numFmtId="0" fontId="67" fillId="0" borderId="0" xfId="0" applyFont="1" applyAlignment="1">
      <alignment horizontal="left"/>
    </xf>
    <xf numFmtId="14" fontId="67" fillId="0" borderId="0" xfId="0" applyNumberFormat="1" applyFont="1" applyAlignment="1">
      <alignment horizontal="left"/>
    </xf>
    <xf numFmtId="0" fontId="67" fillId="0" borderId="0" xfId="0" applyFont="1" applyAlignment="1">
      <alignment horizontal="center"/>
    </xf>
    <xf numFmtId="176" fontId="61" fillId="0" borderId="0" xfId="0" applyNumberFormat="1" applyFont="1" applyFill="1" applyBorder="1" applyAlignment="1">
      <alignment horizontal="center"/>
    </xf>
    <xf numFmtId="0" fontId="66" fillId="0" borderId="0" xfId="0" applyFont="1" applyFill="1"/>
    <xf numFmtId="176" fontId="66" fillId="0" borderId="18" xfId="0" applyNumberFormat="1" applyFont="1" applyBorder="1"/>
    <xf numFmtId="176" fontId="66" fillId="0" borderId="0" xfId="0" applyNumberFormat="1" applyFont="1" applyBorder="1"/>
    <xf numFmtId="0" fontId="67" fillId="0" borderId="11" xfId="0" applyFont="1" applyBorder="1" applyAlignment="1">
      <alignment horizontal="center"/>
    </xf>
    <xf numFmtId="176" fontId="61" fillId="0" borderId="11" xfId="0" applyNumberFormat="1" applyFont="1" applyFill="1" applyBorder="1" applyAlignment="1">
      <alignment horizontal="center"/>
    </xf>
    <xf numFmtId="37" fontId="61" fillId="0" borderId="11" xfId="0" applyNumberFormat="1" applyFont="1" applyFill="1" applyBorder="1" applyAlignment="1">
      <alignment horizontal="center"/>
    </xf>
    <xf numFmtId="0" fontId="66" fillId="0" borderId="0" xfId="0" applyFont="1" applyAlignment="1">
      <alignment horizontal="center"/>
    </xf>
    <xf numFmtId="176" fontId="61" fillId="0" borderId="11" xfId="0" applyNumberFormat="1" applyFont="1" applyFill="1" applyBorder="1" applyAlignment="1">
      <alignment horizontal="left"/>
    </xf>
    <xf numFmtId="37" fontId="57" fillId="40" borderId="0" xfId="0" applyNumberFormat="1" applyFont="1" applyFill="1" applyBorder="1" applyProtection="1"/>
    <xf numFmtId="176" fontId="57" fillId="40" borderId="0" xfId="0" applyNumberFormat="1" applyFont="1" applyFill="1" applyBorder="1" applyProtection="1"/>
    <xf numFmtId="176" fontId="66" fillId="40" borderId="0" xfId="0" applyNumberFormat="1" applyFont="1" applyFill="1"/>
    <xf numFmtId="0" fontId="57" fillId="40" borderId="0" xfId="0" applyFont="1" applyFill="1" applyBorder="1"/>
    <xf numFmtId="0" fontId="57" fillId="40" borderId="0" xfId="0" applyFont="1" applyFill="1" applyBorder="1" applyProtection="1"/>
    <xf numFmtId="0" fontId="125" fillId="40" borderId="0" xfId="0" applyFont="1" applyFill="1" applyBorder="1" applyAlignment="1"/>
    <xf numFmtId="0" fontId="66" fillId="0" borderId="18" xfId="0" applyFont="1" applyBorder="1"/>
    <xf numFmtId="0" fontId="67" fillId="0" borderId="0" xfId="0" applyFont="1" applyAlignment="1">
      <alignment horizontal="right"/>
    </xf>
    <xf numFmtId="0" fontId="61" fillId="0" borderId="11" xfId="6" applyFont="1" applyFill="1" applyBorder="1" applyAlignment="1" applyProtection="1">
      <alignment horizontal="center"/>
    </xf>
    <xf numFmtId="0" fontId="66" fillId="0" borderId="0" xfId="0" applyFont="1" applyFill="1" applyBorder="1"/>
    <xf numFmtId="14" fontId="67" fillId="0" borderId="0" xfId="0" applyNumberFormat="1" applyFont="1" applyFill="1" applyBorder="1" applyAlignment="1">
      <alignment horizontal="left"/>
    </xf>
    <xf numFmtId="176" fontId="66" fillId="0" borderId="0" xfId="0" applyNumberFormat="1" applyFont="1" applyFill="1" applyBorder="1"/>
    <xf numFmtId="176" fontId="66" fillId="0" borderId="0" xfId="0" applyNumberFormat="1" applyFont="1" applyFill="1" applyBorder="1"/>
    <xf numFmtId="0" fontId="67" fillId="0" borderId="0" xfId="0" applyFont="1" applyBorder="1" applyAlignment="1">
      <alignment horizontal="center"/>
    </xf>
    <xf numFmtId="0" fontId="66" fillId="0" borderId="0" xfId="0" applyFont="1" applyFill="1" applyBorder="1" applyAlignment="1">
      <alignment horizontal="center"/>
    </xf>
    <xf numFmtId="0" fontId="57" fillId="0" borderId="0" xfId="0" applyFont="1" applyFill="1" applyBorder="1" applyAlignment="1"/>
    <xf numFmtId="170" fontId="57" fillId="0" borderId="0" xfId="818" applyNumberFormat="1" applyFont="1" applyFill="1" applyBorder="1" applyAlignment="1"/>
    <xf numFmtId="10" fontId="57" fillId="0" borderId="0" xfId="1999" applyNumberFormat="1" applyFont="1" applyFill="1" applyBorder="1" applyAlignment="1"/>
    <xf numFmtId="0" fontId="57" fillId="0" borderId="0" xfId="0" applyFont="1" applyFill="1" applyBorder="1"/>
    <xf numFmtId="14" fontId="61" fillId="0" borderId="0" xfId="0" applyNumberFormat="1" applyFont="1" applyFill="1" applyBorder="1" applyAlignment="1">
      <alignment horizontal="left"/>
    </xf>
    <xf numFmtId="10" fontId="57" fillId="0" borderId="0" xfId="1999" applyNumberFormat="1" applyFont="1" applyFill="1" applyBorder="1"/>
    <xf numFmtId="10" fontId="61" fillId="0" borderId="0" xfId="2001" applyNumberFormat="1" applyFont="1" applyFill="1" applyBorder="1" applyAlignment="1"/>
    <xf numFmtId="10" fontId="57" fillId="0" borderId="0" xfId="1999" applyNumberFormat="1" applyFont="1" applyFill="1" applyBorder="1" applyAlignment="1" applyProtection="1">
      <alignment horizontal="center"/>
    </xf>
    <xf numFmtId="170" fontId="61" fillId="0" borderId="0" xfId="818" applyNumberFormat="1" applyFont="1" applyFill="1" applyBorder="1" applyAlignment="1">
      <alignment horizontal="right"/>
    </xf>
    <xf numFmtId="170" fontId="57" fillId="0" borderId="11" xfId="818" applyNumberFormat="1" applyFont="1" applyFill="1" applyBorder="1" applyAlignment="1"/>
    <xf numFmtId="10" fontId="57" fillId="0" borderId="11" xfId="1999" applyNumberFormat="1" applyFont="1" applyFill="1" applyBorder="1" applyAlignment="1"/>
    <xf numFmtId="176" fontId="66" fillId="40" borderId="0" xfId="0" applyNumberFormat="1" applyFont="1" applyFill="1" applyBorder="1"/>
    <xf numFmtId="176" fontId="66" fillId="40" borderId="11" xfId="0" applyNumberFormat="1" applyFont="1" applyFill="1" applyBorder="1"/>
    <xf numFmtId="176" fontId="66" fillId="40" borderId="0" xfId="0" applyNumberFormat="1" applyFont="1" applyFill="1" applyBorder="1"/>
    <xf numFmtId="10" fontId="66" fillId="40" borderId="0" xfId="0" applyNumberFormat="1" applyFont="1" applyFill="1" applyBorder="1"/>
    <xf numFmtId="10" fontId="66" fillId="40" borderId="0" xfId="0" applyNumberFormat="1" applyFont="1" applyFill="1" applyBorder="1"/>
    <xf numFmtId="0" fontId="61" fillId="0" borderId="0" xfId="0" applyFont="1" applyFill="1" applyBorder="1" applyAlignment="1">
      <alignment horizontal="right"/>
    </xf>
    <xf numFmtId="14" fontId="67" fillId="0" borderId="0" xfId="0" applyNumberFormat="1" applyFont="1" applyBorder="1" applyAlignment="1">
      <alignment horizontal="center"/>
    </xf>
    <xf numFmtId="37" fontId="57" fillId="0" borderId="0" xfId="0" applyNumberFormat="1" applyFont="1" applyFill="1" applyBorder="1" applyProtection="1"/>
    <xf numFmtId="10" fontId="57" fillId="40" borderId="0" xfId="1999" applyNumberFormat="1" applyFont="1" applyFill="1" applyBorder="1"/>
    <xf numFmtId="176" fontId="66" fillId="40" borderId="1" xfId="0" applyNumberFormat="1" applyFont="1" applyFill="1" applyBorder="1"/>
    <xf numFmtId="0" fontId="61" fillId="0" borderId="0" xfId="0" applyFont="1" applyFill="1" applyBorder="1" applyAlignment="1">
      <alignment horizontal="center"/>
    </xf>
    <xf numFmtId="14" fontId="61" fillId="0" borderId="0" xfId="0" applyNumberFormat="1" applyFont="1" applyFill="1" applyBorder="1" applyAlignment="1">
      <alignment horizontal="right"/>
    </xf>
    <xf numFmtId="9" fontId="57" fillId="0" borderId="0" xfId="0" applyNumberFormat="1" applyFont="1" applyFill="1" applyBorder="1" applyAlignment="1">
      <alignment horizontal="center"/>
    </xf>
    <xf numFmtId="0" fontId="57" fillId="0" borderId="0" xfId="0" applyFont="1" applyFill="1" applyAlignment="1">
      <alignment vertical="top"/>
    </xf>
    <xf numFmtId="0" fontId="57" fillId="0" borderId="0" xfId="0" applyFont="1" applyBorder="1" applyAlignment="1">
      <alignment vertical="top"/>
    </xf>
    <xf numFmtId="0" fontId="57" fillId="0" borderId="0" xfId="0" applyFont="1" applyAlignment="1">
      <alignment vertical="top"/>
    </xf>
    <xf numFmtId="0" fontId="57" fillId="0" borderId="0" xfId="0" applyFont="1" applyFill="1" applyBorder="1" applyAlignment="1">
      <alignment horizontal="center" wrapText="1"/>
    </xf>
    <xf numFmtId="176" fontId="57" fillId="0" borderId="0" xfId="0" applyNumberFormat="1" applyFont="1" applyFill="1" applyBorder="1" applyAlignment="1">
      <alignment vertical="top"/>
    </xf>
    <xf numFmtId="0" fontId="57" fillId="0" borderId="0" xfId="0" applyFont="1" applyFill="1" applyBorder="1" applyAlignment="1">
      <alignment vertical="top"/>
    </xf>
    <xf numFmtId="176" fontId="57" fillId="40" borderId="0" xfId="0" applyNumberFormat="1" applyFont="1" applyFill="1" applyBorder="1" applyAlignment="1" applyProtection="1">
      <alignment horizontal="left" vertical="top" wrapText="1"/>
      <protection locked="0"/>
    </xf>
    <xf numFmtId="207" fontId="57" fillId="40" borderId="0" xfId="0" applyNumberFormat="1" applyFont="1" applyFill="1" applyBorder="1" applyAlignment="1" applyProtection="1">
      <alignment horizontal="left" vertical="top" wrapText="1"/>
      <protection locked="0"/>
    </xf>
    <xf numFmtId="176" fontId="57" fillId="40" borderId="0" xfId="0" applyNumberFormat="1" applyFont="1" applyFill="1" applyBorder="1" applyAlignment="1">
      <alignment vertical="top"/>
    </xf>
    <xf numFmtId="9" fontId="61" fillId="0" borderId="0" xfId="0" applyNumberFormat="1" applyFont="1" applyFill="1" applyBorder="1" applyAlignment="1">
      <alignment horizontal="center"/>
    </xf>
    <xf numFmtId="0" fontId="61" fillId="0" borderId="11" xfId="0" applyFont="1" applyFill="1" applyBorder="1" applyAlignment="1">
      <alignment horizontal="center" wrapText="1"/>
    </xf>
    <xf numFmtId="0" fontId="61" fillId="0" borderId="0" xfId="0" applyFont="1" applyFill="1" applyBorder="1" applyAlignment="1">
      <alignment horizontal="center" wrapText="1"/>
    </xf>
    <xf numFmtId="0" fontId="61" fillId="40" borderId="11" xfId="0" applyFont="1" applyFill="1" applyBorder="1" applyAlignment="1">
      <alignment horizontal="center" wrapText="1"/>
    </xf>
    <xf numFmtId="0" fontId="66" fillId="40" borderId="0" xfId="0" applyFont="1" applyFill="1"/>
    <xf numFmtId="37" fontId="57" fillId="40" borderId="0" xfId="0" applyNumberFormat="1" applyFont="1" applyFill="1" applyBorder="1" applyAlignment="1" applyProtection="1">
      <alignment horizontal="center"/>
    </xf>
    <xf numFmtId="0" fontId="66" fillId="0" borderId="0" xfId="0" applyFont="1" applyBorder="1" applyAlignment="1">
      <alignment horizontal="center"/>
    </xf>
    <xf numFmtId="37" fontId="126" fillId="0" borderId="0" xfId="0" applyNumberFormat="1" applyFont="1" applyFill="1" applyBorder="1" applyAlignment="1" applyProtection="1">
      <alignment horizontal="center"/>
    </xf>
    <xf numFmtId="0" fontId="57" fillId="40" borderId="0" xfId="0" applyFont="1" applyFill="1" applyBorder="1" applyAlignment="1" applyProtection="1">
      <alignment horizontal="center"/>
    </xf>
    <xf numFmtId="0" fontId="125" fillId="40" borderId="0" xfId="0" applyFont="1" applyFill="1" applyBorder="1" applyAlignment="1">
      <alignment horizontal="center"/>
    </xf>
    <xf numFmtId="0" fontId="66" fillId="0" borderId="11" xfId="0" applyFont="1" applyFill="1" applyBorder="1"/>
    <xf numFmtId="170" fontId="61" fillId="0" borderId="0" xfId="818" applyNumberFormat="1" applyFont="1" applyFill="1" applyBorder="1" applyAlignment="1">
      <alignment horizontal="center"/>
    </xf>
    <xf numFmtId="10" fontId="66" fillId="40" borderId="0" xfId="8465" applyNumberFormat="1" applyFont="1" applyFill="1"/>
    <xf numFmtId="0" fontId="66" fillId="40" borderId="0" xfId="0" applyFont="1" applyFill="1"/>
    <xf numFmtId="0" fontId="61" fillId="0" borderId="0" xfId="0" applyFont="1" applyFill="1" applyAlignment="1">
      <alignment horizontal="right"/>
    </xf>
    <xf numFmtId="0" fontId="61" fillId="0" borderId="0" xfId="0" applyFont="1" applyFill="1"/>
    <xf numFmtId="0" fontId="57" fillId="0" borderId="0" xfId="0" applyFont="1" applyFill="1" applyBorder="1" applyAlignment="1"/>
    <xf numFmtId="0" fontId="57" fillId="0" borderId="0" xfId="0" applyFont="1" applyFill="1" applyBorder="1" applyAlignment="1">
      <alignment horizontal="center"/>
    </xf>
    <xf numFmtId="0" fontId="57" fillId="0" borderId="0" xfId="0" applyFont="1" applyFill="1" applyBorder="1"/>
    <xf numFmtId="14" fontId="67" fillId="0" borderId="0" xfId="0" applyNumberFormat="1" applyFont="1" applyFill="1" applyBorder="1" applyAlignment="1">
      <alignment horizontal="right"/>
    </xf>
    <xf numFmtId="14" fontId="67" fillId="0" borderId="0" xfId="0" applyNumberFormat="1" applyFont="1" applyFill="1" applyBorder="1" applyAlignment="1">
      <alignment horizontal="left"/>
    </xf>
    <xf numFmtId="14" fontId="61" fillId="0" borderId="0" xfId="0" applyNumberFormat="1" applyFont="1" applyFill="1" applyBorder="1" applyAlignment="1">
      <alignment horizontal="left"/>
    </xf>
    <xf numFmtId="0" fontId="61" fillId="0" borderId="11" xfId="0" applyFont="1" applyFill="1" applyBorder="1" applyAlignment="1">
      <alignment horizontal="center"/>
    </xf>
    <xf numFmtId="0" fontId="61" fillId="0" borderId="11" xfId="0" applyFont="1" applyFill="1" applyBorder="1"/>
    <xf numFmtId="170" fontId="61" fillId="40" borderId="11" xfId="818" applyNumberFormat="1" applyFont="1" applyFill="1" applyBorder="1" applyAlignment="1">
      <alignment horizontal="center"/>
    </xf>
    <xf numFmtId="0" fontId="57" fillId="0" borderId="11" xfId="0" applyFont="1" applyFill="1" applyBorder="1" applyAlignment="1">
      <alignment horizontal="center"/>
    </xf>
    <xf numFmtId="0" fontId="57" fillId="0" borderId="11" xfId="0" applyFont="1" applyFill="1" applyBorder="1"/>
    <xf numFmtId="10" fontId="57" fillId="40" borderId="0" xfId="0" applyNumberFormat="1" applyFont="1" applyFill="1" applyBorder="1" applyAlignment="1">
      <alignment horizontal="right"/>
    </xf>
    <xf numFmtId="177" fontId="57" fillId="40" borderId="0" xfId="0" applyNumberFormat="1" applyFont="1" applyFill="1" applyBorder="1" applyAlignment="1">
      <alignment horizontal="right"/>
    </xf>
    <xf numFmtId="0" fontId="57" fillId="0" borderId="0" xfId="0" applyFont="1" applyFill="1" applyBorder="1" applyAlignment="1" applyProtection="1">
      <alignment horizontal="center"/>
    </xf>
    <xf numFmtId="9" fontId="61" fillId="0" borderId="0" xfId="0" applyNumberFormat="1" applyFont="1" applyFill="1" applyBorder="1"/>
    <xf numFmtId="0" fontId="61" fillId="0" borderId="0" xfId="0" applyFont="1" applyFill="1" applyBorder="1" applyAlignment="1"/>
    <xf numFmtId="9" fontId="61" fillId="0" borderId="0" xfId="0" applyNumberFormat="1" applyFont="1" applyFill="1" applyBorder="1" applyAlignment="1">
      <alignment horizontal="center"/>
    </xf>
    <xf numFmtId="0" fontId="61" fillId="0" borderId="0" xfId="0" applyFont="1" applyFill="1" applyBorder="1" applyAlignment="1">
      <alignment horizontal="center"/>
    </xf>
    <xf numFmtId="0" fontId="128" fillId="40" borderId="0" xfId="0" applyFont="1" applyFill="1" applyBorder="1" applyAlignment="1">
      <alignment horizontal="center"/>
    </xf>
    <xf numFmtId="14" fontId="61" fillId="40" borderId="11" xfId="818" applyNumberFormat="1" applyFont="1" applyFill="1" applyBorder="1" applyAlignment="1" applyProtection="1">
      <alignment horizontal="center"/>
    </xf>
    <xf numFmtId="0" fontId="57" fillId="0" borderId="0" xfId="1118" applyFont="1" applyFill="1" applyBorder="1" applyAlignment="1" applyProtection="1">
      <alignment horizontal="center"/>
    </xf>
    <xf numFmtId="0" fontId="129" fillId="0" borderId="0" xfId="1118" applyFont="1" applyFill="1"/>
    <xf numFmtId="170" fontId="129" fillId="0" borderId="0" xfId="1118" applyNumberFormat="1" applyFont="1" applyFill="1"/>
    <xf numFmtId="10" fontId="57" fillId="0" borderId="0" xfId="1118" applyNumberFormat="1" applyFont="1" applyFill="1"/>
    <xf numFmtId="0" fontId="57" fillId="0" borderId="0" xfId="1118" applyFont="1" applyFill="1" applyAlignment="1">
      <alignment horizontal="left"/>
    </xf>
    <xf numFmtId="0" fontId="57" fillId="40" borderId="0" xfId="1118" applyFont="1" applyFill="1" applyProtection="1"/>
    <xf numFmtId="170" fontId="57" fillId="0" borderId="0" xfId="1118" applyNumberFormat="1" applyFont="1" applyFill="1" applyBorder="1" applyAlignment="1">
      <alignment horizontal="center"/>
    </xf>
    <xf numFmtId="10" fontId="57" fillId="0" borderId="0" xfId="1118" applyNumberFormat="1" applyFont="1" applyFill="1" applyBorder="1"/>
    <xf numFmtId="170" fontId="57" fillId="40" borderId="0" xfId="1118" applyNumberFormat="1" applyFont="1" applyFill="1" applyBorder="1"/>
    <xf numFmtId="0" fontId="57" fillId="40" borderId="0" xfId="1118" applyFont="1" applyFill="1" applyBorder="1"/>
    <xf numFmtId="0" fontId="57" fillId="41" borderId="0" xfId="1118" quotePrefix="1" applyFont="1" applyFill="1"/>
    <xf numFmtId="170" fontId="57" fillId="41" borderId="0" xfId="1118" applyNumberFormat="1" applyFont="1" applyFill="1"/>
    <xf numFmtId="170" fontId="57" fillId="41" borderId="0" xfId="1118" applyNumberFormat="1" applyFont="1" applyFill="1" applyBorder="1"/>
    <xf numFmtId="170" fontId="57" fillId="40" borderId="1" xfId="1118" applyNumberFormat="1" applyFont="1" applyFill="1" applyBorder="1"/>
    <xf numFmtId="0" fontId="57" fillId="0" borderId="1" xfId="1118" applyFont="1" applyFill="1" applyBorder="1" applyAlignment="1">
      <alignment horizontal="center"/>
    </xf>
    <xf numFmtId="10" fontId="57" fillId="0" borderId="1" xfId="1118" applyNumberFormat="1" applyFont="1" applyFill="1" applyBorder="1"/>
    <xf numFmtId="170" fontId="57" fillId="0" borderId="0" xfId="1118" applyNumberFormat="1" applyFont="1" applyFill="1" applyBorder="1"/>
    <xf numFmtId="0" fontId="57" fillId="40" borderId="0" xfId="0" applyFont="1" applyFill="1" applyBorder="1" applyProtection="1"/>
    <xf numFmtId="0" fontId="57" fillId="40" borderId="0" xfId="0" applyFont="1" applyFill="1" applyBorder="1"/>
    <xf numFmtId="10" fontId="57" fillId="40" borderId="1" xfId="1118" applyNumberFormat="1" applyFont="1" applyFill="1" applyBorder="1"/>
    <xf numFmtId="170" fontId="57" fillId="0" borderId="1" xfId="1118" applyNumberFormat="1" applyFont="1" applyFill="1" applyBorder="1" applyAlignment="1">
      <alignment horizontal="center"/>
    </xf>
    <xf numFmtId="10" fontId="57" fillId="0" borderId="0" xfId="1118" applyNumberFormat="1" applyFont="1" applyFill="1" applyBorder="1" applyAlignment="1">
      <alignment horizontal="right"/>
    </xf>
    <xf numFmtId="170" fontId="57" fillId="40" borderId="0" xfId="1118" applyNumberFormat="1" applyFont="1" applyFill="1"/>
    <xf numFmtId="0" fontId="57" fillId="40" borderId="0" xfId="1118" quotePrefix="1" applyFont="1" applyFill="1"/>
    <xf numFmtId="10" fontId="57" fillId="0" borderId="22" xfId="1118" applyNumberFormat="1" applyFont="1" applyFill="1" applyBorder="1" applyAlignment="1">
      <alignment horizontal="left"/>
    </xf>
    <xf numFmtId="170" fontId="57" fillId="0" borderId="22" xfId="1118" applyNumberFormat="1" applyFont="1" applyFill="1" applyBorder="1"/>
    <xf numFmtId="0" fontId="57" fillId="0" borderId="22" xfId="1118" applyFont="1" applyFill="1" applyBorder="1" applyAlignment="1">
      <alignment horizontal="center"/>
    </xf>
    <xf numFmtId="10" fontId="57" fillId="0" borderId="22" xfId="1118" applyNumberFormat="1" applyFont="1" applyFill="1" applyBorder="1"/>
    <xf numFmtId="170" fontId="57" fillId="41" borderId="22" xfId="1118" applyNumberFormat="1" applyFont="1" applyFill="1" applyBorder="1"/>
    <xf numFmtId="176" fontId="127" fillId="0" borderId="11" xfId="0" applyNumberFormat="1" applyFont="1" applyFill="1" applyBorder="1"/>
    <xf numFmtId="0" fontId="125" fillId="40" borderId="0" xfId="0" applyFont="1" applyFill="1" applyBorder="1"/>
    <xf numFmtId="0" fontId="125" fillId="0" borderId="0" xfId="0" applyFont="1" applyFill="1" applyBorder="1"/>
    <xf numFmtId="0" fontId="128" fillId="0" borderId="0" xfId="0" applyFont="1" applyFill="1" applyBorder="1" applyAlignment="1">
      <alignment horizontal="right"/>
    </xf>
    <xf numFmtId="9" fontId="125" fillId="0" borderId="0" xfId="0" applyNumberFormat="1" applyFont="1" applyFill="1" applyBorder="1" applyAlignment="1">
      <alignment horizontal="center"/>
    </xf>
    <xf numFmtId="0" fontId="128" fillId="0" borderId="0" xfId="0" applyFont="1" applyFill="1" applyBorder="1" applyAlignment="1">
      <alignment horizontal="center"/>
    </xf>
    <xf numFmtId="9" fontId="125" fillId="0" borderId="11" xfId="0" applyNumberFormat="1" applyFont="1" applyFill="1" applyBorder="1" applyAlignment="1">
      <alignment horizontal="center"/>
    </xf>
    <xf numFmtId="0" fontId="125" fillId="0" borderId="11" xfId="0" applyFont="1" applyFill="1" applyBorder="1"/>
    <xf numFmtId="170" fontId="61" fillId="0" borderId="11" xfId="0" applyNumberFormat="1" applyFont="1" applyFill="1" applyBorder="1" applyAlignment="1" applyProtection="1">
      <alignment horizontal="center"/>
    </xf>
    <xf numFmtId="9" fontId="128" fillId="0" borderId="0" xfId="0" applyNumberFormat="1" applyFont="1" applyFill="1" applyBorder="1" applyAlignment="1">
      <alignment horizontal="center"/>
    </xf>
    <xf numFmtId="170" fontId="61" fillId="0" borderId="0" xfId="0" applyNumberFormat="1" applyFont="1" applyFill="1" applyBorder="1" applyAlignment="1" applyProtection="1">
      <alignment horizontal="center"/>
    </xf>
    <xf numFmtId="10" fontId="57" fillId="40" borderId="1" xfId="1999" applyNumberFormat="1" applyFont="1" applyFill="1" applyBorder="1"/>
    <xf numFmtId="37" fontId="61" fillId="40" borderId="11" xfId="0" applyNumberFormat="1" applyFont="1" applyFill="1" applyBorder="1" applyAlignment="1">
      <alignment horizontal="center"/>
    </xf>
    <xf numFmtId="176" fontId="66" fillId="40" borderId="18" xfId="0" applyNumberFormat="1" applyFont="1" applyFill="1" applyBorder="1"/>
    <xf numFmtId="176" fontId="57" fillId="40" borderId="18" xfId="0" applyNumberFormat="1" applyFont="1" applyFill="1" applyBorder="1"/>
    <xf numFmtId="0" fontId="57" fillId="40" borderId="0" xfId="0" applyFont="1" applyFill="1" applyBorder="1" applyAlignment="1">
      <alignment vertical="top"/>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0" fontId="57" fillId="42" borderId="0" xfId="0" applyFont="1" applyFill="1" applyAlignment="1">
      <alignment horizontal="center"/>
    </xf>
    <xf numFmtId="170" fontId="57" fillId="42" borderId="0" xfId="8463" applyNumberFormat="1" applyFont="1" applyFill="1" applyAlignment="1">
      <alignment horizontal="center"/>
    </xf>
    <xf numFmtId="0" fontId="57" fillId="43" borderId="0" xfId="1118" applyFont="1" applyFill="1"/>
    <xf numFmtId="170" fontId="57" fillId="43" borderId="0" xfId="8463" applyNumberFormat="1" applyFont="1" applyFill="1" applyAlignment="1">
      <alignment horizontal="center"/>
    </xf>
    <xf numFmtId="170" fontId="57" fillId="43" borderId="0" xfId="8463" applyNumberFormat="1" applyFont="1" applyFill="1"/>
    <xf numFmtId="0" fontId="127" fillId="0" borderId="0" xfId="1118" applyFont="1" applyFill="1"/>
    <xf numFmtId="0" fontId="61" fillId="0" borderId="34" xfId="0" applyFont="1" applyFill="1" applyBorder="1" applyProtection="1"/>
    <xf numFmtId="170" fontId="57" fillId="43" borderId="0" xfId="818" applyNumberFormat="1" applyFont="1" applyFill="1" applyBorder="1"/>
    <xf numFmtId="170" fontId="57" fillId="43" borderId="0" xfId="0" applyNumberFormat="1" applyFont="1" applyFill="1" applyBorder="1"/>
    <xf numFmtId="170" fontId="57" fillId="43" borderId="11" xfId="818" applyNumberFormat="1" applyFont="1" applyFill="1" applyBorder="1"/>
    <xf numFmtId="0" fontId="123" fillId="0" borderId="0" xfId="1118" applyFont="1" applyFill="1"/>
    <xf numFmtId="170" fontId="57" fillId="0" borderId="1" xfId="8463" applyNumberFormat="1" applyFont="1" applyFill="1" applyBorder="1"/>
    <xf numFmtId="44" fontId="57" fillId="0" borderId="0" xfId="1118" applyNumberFormat="1" applyFont="1" applyFill="1"/>
    <xf numFmtId="0" fontId="61" fillId="0" borderId="0" xfId="1118" applyFont="1" applyFill="1" applyAlignment="1"/>
    <xf numFmtId="0" fontId="63" fillId="0" borderId="0" xfId="1118" applyFont="1" applyFill="1" applyAlignment="1"/>
    <xf numFmtId="170" fontId="57" fillId="0" borderId="0" xfId="1118" applyNumberFormat="1" applyFont="1"/>
    <xf numFmtId="43" fontId="127" fillId="0" borderId="0" xfId="4" applyNumberFormat="1" applyFont="1" applyFill="1" applyAlignment="1" applyProtection="1">
      <alignment horizontal="center"/>
    </xf>
    <xf numFmtId="43" fontId="57" fillId="0" borderId="0" xfId="4" applyNumberFormat="1" applyFont="1"/>
    <xf numFmtId="43" fontId="57" fillId="0" borderId="0" xfId="4" applyNumberFormat="1" applyFont="1" applyFill="1"/>
    <xf numFmtId="43" fontId="127" fillId="0" borderId="0" xfId="4" quotePrefix="1" applyNumberFormat="1" applyFont="1" applyFill="1"/>
    <xf numFmtId="170" fontId="127" fillId="0" borderId="0" xfId="0" applyNumberFormat="1" applyFont="1" applyFill="1" applyBorder="1" applyAlignment="1">
      <alignment horizontal="center"/>
    </xf>
    <xf numFmtId="170" fontId="57" fillId="43" borderId="0" xfId="818" quotePrefix="1" applyNumberFormat="1" applyFont="1" applyFill="1" applyAlignment="1" applyProtection="1">
      <alignment horizontal="right"/>
    </xf>
    <xf numFmtId="180" fontId="57" fillId="43" borderId="0" xfId="0" applyNumberFormat="1" applyFont="1" applyFill="1" applyAlignment="1">
      <alignment horizontal="center"/>
    </xf>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22"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0" xfId="818" applyNumberFormat="1" applyFont="1" applyFill="1" applyAlignment="1">
      <alignment horizontal="center"/>
    </xf>
    <xf numFmtId="170" fontId="57" fillId="43" borderId="11" xfId="818" applyNumberFormat="1" applyFont="1" applyFill="1" applyBorder="1" applyAlignment="1">
      <alignment horizontal="center"/>
    </xf>
    <xf numFmtId="0" fontId="57" fillId="42" borderId="0" xfId="0" applyNumberFormat="1" applyFont="1" applyFill="1" applyAlignment="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44" fontId="57" fillId="42" borderId="0" xfId="818" applyFont="1" applyFill="1" applyAlignment="1"/>
    <xf numFmtId="170" fontId="57" fillId="42" borderId="11" xfId="818" applyNumberFormat="1" applyFont="1" applyFill="1" applyBorder="1" applyAlignment="1"/>
    <xf numFmtId="176" fontId="61" fillId="42" borderId="18" xfId="4" applyNumberFormat="1" applyFont="1" applyFill="1" applyBorder="1" applyAlignment="1"/>
    <xf numFmtId="174" fontId="57" fillId="42" borderId="18" xfId="0" applyNumberFormat="1" applyFont="1" applyFill="1" applyBorder="1" applyAlignment="1"/>
    <xf numFmtId="170" fontId="61" fillId="42" borderId="18" xfId="818" applyNumberFormat="1" applyFont="1" applyFill="1" applyBorder="1" applyAlignment="1"/>
    <xf numFmtId="170" fontId="57" fillId="42" borderId="0" xfId="818" applyNumberFormat="1" applyFont="1" applyFill="1"/>
    <xf numFmtId="170" fontId="57" fillId="42" borderId="22" xfId="818" applyNumberFormat="1" applyFont="1" applyFill="1" applyBorder="1"/>
    <xf numFmtId="10" fontId="57" fillId="42" borderId="0" xfId="2001" applyNumberFormat="1" applyFont="1" applyFill="1"/>
    <xf numFmtId="170" fontId="57" fillId="42" borderId="0" xfId="818" applyNumberFormat="1" applyFont="1" applyFill="1" applyBorder="1"/>
    <xf numFmtId="170" fontId="57" fillId="42" borderId="0" xfId="0" applyNumberFormat="1" applyFont="1" applyFill="1"/>
    <xf numFmtId="170" fontId="57" fillId="42" borderId="18"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4" xfId="818" applyNumberFormat="1" applyFont="1" applyBorder="1" applyAlignment="1">
      <alignment horizontal="center"/>
    </xf>
    <xf numFmtId="177" fontId="61" fillId="43" borderId="34" xfId="1999" applyNumberFormat="1" applyFont="1" applyFill="1" applyBorder="1" applyAlignment="1">
      <alignment horizontal="center"/>
    </xf>
    <xf numFmtId="170" fontId="57" fillId="43" borderId="1" xfId="818" applyNumberFormat="1" applyFont="1" applyFill="1" applyBorder="1" applyProtection="1"/>
    <xf numFmtId="177" fontId="57" fillId="43" borderId="22"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43" borderId="0" xfId="818"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170" fontId="57" fillId="40" borderId="22"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44" fontId="57" fillId="40" borderId="22" xfId="818" applyNumberFormat="1" applyFont="1" applyFill="1" applyBorder="1" applyProtection="1"/>
    <xf numFmtId="0" fontId="0" fillId="0" borderId="0" xfId="0" applyFill="1"/>
    <xf numFmtId="170" fontId="57" fillId="43" borderId="0" xfId="0" applyNumberFormat="1" applyFont="1" applyFill="1" applyBorder="1" applyProtection="1"/>
    <xf numFmtId="0" fontId="0" fillId="0" borderId="22" xfId="0" applyFill="1" applyBorder="1"/>
    <xf numFmtId="170" fontId="57" fillId="43" borderId="22" xfId="818" applyNumberFormat="1" applyFont="1" applyFill="1" applyBorder="1" applyProtection="1"/>
    <xf numFmtId="10" fontId="57" fillId="40" borderId="0" xfId="8465" applyNumberFormat="1" applyFont="1" applyFill="1" applyBorder="1"/>
    <xf numFmtId="10" fontId="57" fillId="0" borderId="0" xfId="8465" applyNumberFormat="1" applyFont="1" applyBorder="1"/>
    <xf numFmtId="0" fontId="61" fillId="0" borderId="34" xfId="0" applyFont="1" applyFill="1" applyBorder="1"/>
    <xf numFmtId="170" fontId="61" fillId="0" borderId="34" xfId="818" applyNumberFormat="1" applyFont="1" applyFill="1" applyBorder="1"/>
    <xf numFmtId="10" fontId="61" fillId="0" borderId="34" xfId="8465" applyNumberFormat="1" applyFont="1" applyFill="1" applyBorder="1"/>
    <xf numFmtId="0" fontId="61" fillId="0" borderId="34" xfId="0" applyFont="1" applyFill="1" applyBorder="1" applyAlignment="1">
      <alignment horizontal="center"/>
    </xf>
    <xf numFmtId="170" fontId="57" fillId="43" borderId="0" xfId="818" applyNumberFormat="1" applyFont="1" applyFill="1" applyProtection="1"/>
    <xf numFmtId="10" fontId="57" fillId="40" borderId="0" xfId="2001" applyNumberFormat="1" applyFont="1" applyFill="1" applyProtection="1"/>
    <xf numFmtId="10" fontId="57" fillId="43" borderId="0" xfId="8465" applyNumberFormat="1" applyFont="1" applyFill="1" applyProtection="1"/>
    <xf numFmtId="10" fontId="57" fillId="40" borderId="0" xfId="2001" applyNumberFormat="1" applyFont="1" applyFill="1" applyBorder="1" applyProtection="1"/>
    <xf numFmtId="10" fontId="57" fillId="43" borderId="0" xfId="2001" applyNumberFormat="1" applyFont="1" applyFill="1" applyProtection="1"/>
    <xf numFmtId="38" fontId="57" fillId="43" borderId="0" xfId="8463" applyNumberFormat="1" applyFont="1" applyFill="1" applyProtection="1"/>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8463" applyNumberFormat="1" applyFont="1" applyFill="1" applyProtection="1"/>
    <xf numFmtId="42" fontId="57" fillId="43" borderId="11" xfId="8463"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37" fontId="57" fillId="40" borderId="0" xfId="0" applyNumberFormat="1" applyFont="1" applyFill="1" applyAlignment="1" applyProtection="1">
      <alignment horizontal="center"/>
    </xf>
    <xf numFmtId="0" fontId="57" fillId="0" borderId="36" xfId="0" applyFont="1" applyFill="1" applyBorder="1" applyProtection="1"/>
    <xf numFmtId="170" fontId="57" fillId="40" borderId="36" xfId="818" applyNumberFormat="1" applyFont="1" applyFill="1" applyBorder="1" applyAlignment="1" applyProtection="1">
      <alignment horizontal="center"/>
    </xf>
    <xf numFmtId="0" fontId="57" fillId="43" borderId="0" xfId="0" quotePrefix="1" applyFont="1" applyFill="1"/>
    <xf numFmtId="170" fontId="57" fillId="43" borderId="0" xfId="818" applyNumberFormat="1" applyFont="1" applyFill="1" applyAlignment="1" applyProtection="1">
      <alignment horizontal="center"/>
    </xf>
    <xf numFmtId="170" fontId="57" fillId="40" borderId="36" xfId="818" applyNumberFormat="1" applyFont="1" applyFill="1" applyBorder="1"/>
    <xf numFmtId="170" fontId="57" fillId="40" borderId="0" xfId="818" applyNumberFormat="1" applyFont="1" applyFill="1" applyBorder="1" applyAlignment="1" applyProtection="1">
      <alignment horizontal="center"/>
    </xf>
    <xf numFmtId="0" fontId="0" fillId="0" borderId="0" xfId="0" applyFill="1" applyBorder="1"/>
    <xf numFmtId="0" fontId="57" fillId="0" borderId="34" xfId="0" applyFont="1" applyFill="1" applyBorder="1" applyAlignment="1" applyProtection="1">
      <alignment horizontal="left"/>
    </xf>
    <xf numFmtId="170" fontId="61" fillId="43" borderId="34" xfId="8463" applyNumberFormat="1" applyFont="1" applyFill="1" applyBorder="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2" fontId="66" fillId="0" borderId="0" xfId="1127" applyNumberFormat="1" applyFont="1" applyFill="1" applyBorder="1"/>
    <xf numFmtId="170" fontId="57" fillId="43" borderId="0" xfId="818" applyNumberFormat="1" applyFont="1" applyFill="1" applyAlignment="1"/>
    <xf numFmtId="170" fontId="61" fillId="40" borderId="34" xfId="818" applyNumberFormat="1" applyFont="1" applyFill="1" applyBorder="1" applyAlignment="1"/>
    <xf numFmtId="170" fontId="57" fillId="40" borderId="36"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4" xfId="8463" applyNumberFormat="1" applyFont="1" applyFill="1" applyBorder="1" applyAlignment="1" applyProtection="1">
      <protection locked="0"/>
    </xf>
    <xf numFmtId="184" fontId="61" fillId="42" borderId="0" xfId="1167" applyNumberFormat="1" applyFont="1" applyFill="1" applyAlignment="1">
      <alignment horizontal="center" vertical="center"/>
    </xf>
    <xf numFmtId="182" fontId="57" fillId="42" borderId="0" xfId="1167" applyNumberFormat="1" applyFont="1" applyFill="1" applyBorder="1" applyAlignment="1">
      <alignment horizontal="right"/>
    </xf>
    <xf numFmtId="170" fontId="57" fillId="42" borderId="0" xfId="818" applyNumberFormat="1" applyFont="1" applyFill="1" applyAlignment="1">
      <alignment horizontal="right"/>
    </xf>
    <xf numFmtId="170" fontId="57" fillId="42" borderId="22" xfId="818" applyNumberFormat="1" applyFont="1" applyFill="1" applyBorder="1" applyAlignment="1">
      <alignment horizontal="right"/>
    </xf>
    <xf numFmtId="10" fontId="57" fillId="42" borderId="0" xfId="1118" applyNumberFormat="1" applyFont="1" applyFill="1" applyProtection="1">
      <protection locked="0"/>
    </xf>
    <xf numFmtId="170" fontId="61" fillId="42" borderId="18" xfId="818" applyNumberFormat="1" applyFont="1" applyFill="1" applyBorder="1"/>
    <xf numFmtId="173" fontId="57" fillId="0" borderId="0" xfId="818" applyNumberFormat="1" applyFont="1" applyFill="1" applyAlignment="1"/>
    <xf numFmtId="170" fontId="61" fillId="43" borderId="34" xfId="818" applyNumberFormat="1" applyFont="1" applyFill="1" applyBorder="1" applyAlignment="1">
      <alignment horizontal="center"/>
    </xf>
    <xf numFmtId="170" fontId="57" fillId="43" borderId="1" xfId="0" applyNumberFormat="1" applyFont="1" applyFill="1" applyBorder="1"/>
    <xf numFmtId="10" fontId="57" fillId="43" borderId="1" xfId="0" applyNumberFormat="1" applyFont="1" applyFill="1" applyBorder="1"/>
    <xf numFmtId="170" fontId="57" fillId="43" borderId="22" xfId="0" applyNumberFormat="1" applyFont="1" applyFill="1" applyBorder="1"/>
    <xf numFmtId="170" fontId="57" fillId="43" borderId="0" xfId="0" applyNumberFormat="1" applyFont="1" applyFill="1"/>
    <xf numFmtId="41" fontId="57" fillId="43" borderId="0" xfId="0" applyNumberFormat="1" applyFont="1" applyFill="1"/>
    <xf numFmtId="170" fontId="57" fillId="42" borderId="1" xfId="0" applyNumberFormat="1" applyFont="1" applyFill="1" applyBorder="1"/>
    <xf numFmtId="176" fontId="57" fillId="42" borderId="0" xfId="0" applyNumberFormat="1" applyFont="1" applyFill="1"/>
    <xf numFmtId="176"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1" fontId="57" fillId="42" borderId="0" xfId="1955" applyNumberFormat="1" applyFont="1" applyFill="1" applyAlignment="1">
      <alignment horizontal="center"/>
    </xf>
    <xf numFmtId="0" fontId="57" fillId="0" borderId="0" xfId="1118" applyFont="1" applyAlignment="1">
      <alignment horizontal="center"/>
    </xf>
    <xf numFmtId="176" fontId="57" fillId="40" borderId="0" xfId="8464" applyNumberFormat="1" applyFont="1" applyFill="1" applyBorder="1"/>
    <xf numFmtId="0" fontId="57" fillId="43" borderId="11" xfId="1118" applyFont="1" applyFill="1" applyBorder="1"/>
    <xf numFmtId="0" fontId="57" fillId="43" borderId="1" xfId="1118" applyFont="1" applyFill="1" applyBorder="1"/>
    <xf numFmtId="211" fontId="57" fillId="42" borderId="0" xfId="1167" applyNumberFormat="1" applyFont="1" applyFill="1" applyBorder="1" applyAlignment="1">
      <alignment horizontal="right"/>
    </xf>
    <xf numFmtId="211" fontId="57" fillId="40" borderId="0" xfId="1167" applyNumberFormat="1" applyFont="1" applyFill="1" applyBorder="1" applyAlignment="1">
      <alignment horizontal="right"/>
    </xf>
    <xf numFmtId="43" fontId="57" fillId="42" borderId="0" xfId="0" applyNumberFormat="1" applyFont="1" applyFill="1" applyAlignment="1">
      <alignment horizontal="center"/>
    </xf>
    <xf numFmtId="0" fontId="57" fillId="40" borderId="0" xfId="1118" applyNumberFormat="1" applyFont="1" applyFill="1"/>
    <xf numFmtId="41" fontId="57" fillId="43" borderId="0" xfId="8463" applyNumberFormat="1" applyFont="1" applyFill="1" applyAlignment="1">
      <alignment horizontal="center"/>
    </xf>
    <xf numFmtId="41" fontId="57" fillId="42" borderId="0" xfId="1118" applyNumberFormat="1" applyFont="1" applyFill="1"/>
    <xf numFmtId="17" fontId="57" fillId="0" borderId="0" xfId="0" applyNumberFormat="1" applyFont="1" applyAlignment="1">
      <alignment horizontal="left" wrapText="1"/>
    </xf>
    <xf numFmtId="1" fontId="61" fillId="43" borderId="11" xfId="0" applyNumberFormat="1" applyFont="1" applyFill="1" applyBorder="1" applyAlignment="1">
      <alignment horizontal="center"/>
    </xf>
    <xf numFmtId="1" fontId="61" fillId="40" borderId="11" xfId="0" applyNumberFormat="1" applyFont="1" applyFill="1" applyBorder="1" applyAlignment="1">
      <alignment horizontal="center"/>
    </xf>
    <xf numFmtId="170" fontId="57" fillId="42" borderId="0" xfId="818" quotePrefix="1" applyNumberFormat="1" applyFont="1" applyFill="1" applyAlignment="1" applyProtection="1">
      <alignment horizontal="right"/>
    </xf>
    <xf numFmtId="170" fontId="57" fillId="42" borderId="0" xfId="818" applyNumberFormat="1" applyFont="1" applyFill="1" applyProtection="1"/>
    <xf numFmtId="170" fontId="57" fillId="42" borderId="0" xfId="818" applyNumberFormat="1" applyFont="1" applyFill="1" applyAlignment="1">
      <alignment horizontal="center"/>
    </xf>
    <xf numFmtId="170" fontId="57" fillId="42" borderId="0" xfId="8463" applyNumberFormat="1" applyFont="1" applyFill="1" applyBorder="1"/>
    <xf numFmtId="41" fontId="57" fillId="42" borderId="0" xfId="52" applyNumberFormat="1" applyFont="1" applyFill="1" applyBorder="1"/>
    <xf numFmtId="170" fontId="57" fillId="42" borderId="0" xfId="8463" quotePrefix="1" applyNumberFormat="1" applyFont="1" applyFill="1" applyBorder="1"/>
    <xf numFmtId="170" fontId="57" fillId="42" borderId="0" xfId="818" applyNumberFormat="1" applyFont="1" applyFill="1" applyBorder="1" applyProtection="1"/>
    <xf numFmtId="38" fontId="57" fillId="42" borderId="0" xfId="8463" applyNumberFormat="1" applyFont="1" applyFill="1" applyProtection="1"/>
    <xf numFmtId="42" fontId="57" fillId="42" borderId="0" xfId="8463" applyNumberFormat="1" applyFont="1" applyFill="1" applyProtection="1"/>
    <xf numFmtId="42" fontId="57" fillId="42" borderId="11" xfId="8463" applyNumberFormat="1" applyFont="1" applyFill="1" applyBorder="1" applyProtection="1"/>
    <xf numFmtId="0" fontId="57" fillId="42" borderId="0" xfId="0" applyFont="1" applyFill="1" applyProtection="1"/>
    <xf numFmtId="170" fontId="57" fillId="42" borderId="0" xfId="818" applyNumberFormat="1" applyFont="1" applyFill="1" applyAlignment="1" applyProtection="1">
      <alignment horizontal="center"/>
    </xf>
    <xf numFmtId="178" fontId="57" fillId="42" borderId="0" xfId="1955" quotePrefix="1" applyNumberFormat="1" applyFont="1" applyFill="1" applyAlignment="1">
      <alignment horizontal="center"/>
    </xf>
    <xf numFmtId="180" fontId="57" fillId="42" borderId="0" xfId="0" quotePrefix="1" applyNumberFormat="1" applyFont="1" applyFill="1" applyAlignment="1">
      <alignment horizontal="center"/>
    </xf>
    <xf numFmtId="180" fontId="57" fillId="42" borderId="0" xfId="1955" quotePrefix="1" applyNumberFormat="1" applyFont="1" applyFill="1" applyAlignment="1">
      <alignment horizontal="center"/>
    </xf>
    <xf numFmtId="0" fontId="66" fillId="42" borderId="0" xfId="0" applyFont="1" applyFill="1" applyAlignment="1">
      <alignment horizontal="center"/>
    </xf>
    <xf numFmtId="170" fontId="57" fillId="42" borderId="0" xfId="8463" applyNumberFormat="1" applyFont="1" applyFill="1" applyBorder="1" applyAlignment="1" applyProtection="1">
      <protection locked="0"/>
    </xf>
    <xf numFmtId="170" fontId="57" fillId="43" borderId="1" xfId="818" applyNumberFormat="1" applyFont="1" applyFill="1" applyBorder="1"/>
    <xf numFmtId="3" fontId="57" fillId="43" borderId="0" xfId="0" applyNumberFormat="1" applyFont="1" applyFill="1" applyAlignment="1"/>
    <xf numFmtId="0" fontId="57" fillId="43" borderId="0" xfId="0" applyNumberFormat="1" applyFont="1" applyFill="1" applyAlignment="1"/>
    <xf numFmtId="174" fontId="57" fillId="43" borderId="0" xfId="8465" applyNumberFormat="1" applyFont="1" applyFill="1"/>
    <xf numFmtId="3" fontId="57" fillId="43" borderId="0" xfId="0" applyNumberFormat="1" applyFont="1" applyFill="1"/>
    <xf numFmtId="170" fontId="57" fillId="43" borderId="0" xfId="818" applyNumberFormat="1" applyFont="1" applyFill="1"/>
    <xf numFmtId="0" fontId="57" fillId="41" borderId="0" xfId="0" applyFont="1" applyFill="1"/>
    <xf numFmtId="170" fontId="57" fillId="41" borderId="0" xfId="818" applyNumberFormat="1" applyFont="1" applyFill="1" applyAlignment="1">
      <alignment horizontal="center"/>
    </xf>
    <xf numFmtId="176" fontId="57" fillId="0" borderId="0" xfId="0" applyNumberFormat="1" applyFont="1"/>
    <xf numFmtId="3" fontId="57" fillId="43" borderId="11" xfId="0" applyNumberFormat="1" applyFont="1" applyFill="1" applyBorder="1" applyAlignment="1"/>
    <xf numFmtId="176" fontId="57" fillId="40" borderId="0" xfId="52" applyNumberFormat="1" applyFont="1" applyFill="1" applyBorder="1" applyProtection="1"/>
    <xf numFmtId="38" fontId="57" fillId="43" borderId="0" xfId="8463" applyNumberFormat="1" applyFont="1" applyFill="1" applyBorder="1" applyProtection="1"/>
    <xf numFmtId="0" fontId="61" fillId="0" borderId="11" xfId="0" applyFont="1" applyFill="1" applyBorder="1" applyAlignment="1" applyProtection="1">
      <alignment horizontal="center"/>
    </xf>
    <xf numFmtId="0" fontId="61" fillId="0" borderId="0" xfId="0" quotePrefix="1" applyNumberFormat="1" applyFont="1" applyFill="1" applyBorder="1" applyAlignment="1">
      <alignment horizontal="center"/>
    </xf>
    <xf numFmtId="170" fontId="61" fillId="43" borderId="34" xfId="818" applyNumberFormat="1" applyFont="1" applyFill="1" applyBorder="1"/>
    <xf numFmtId="0" fontId="66" fillId="0" borderId="0" xfId="31804" applyFont="1"/>
    <xf numFmtId="0" fontId="66" fillId="0" borderId="0" xfId="31804" applyFont="1" applyFill="1"/>
    <xf numFmtId="0" fontId="66" fillId="0" borderId="0" xfId="31807" applyFont="1"/>
    <xf numFmtId="0" fontId="66" fillId="0" borderId="0" xfId="31809" applyFont="1" applyFill="1" applyBorder="1"/>
    <xf numFmtId="0" fontId="66" fillId="0" borderId="0" xfId="31809" quotePrefix="1" applyFont="1" applyFill="1" applyBorder="1"/>
    <xf numFmtId="0" fontId="66" fillId="43" borderId="0" xfId="0" applyFont="1" applyFill="1" applyBorder="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6" fillId="0" borderId="0" xfId="0" applyFont="1" applyAlignment="1">
      <alignment horizontal="left"/>
    </xf>
    <xf numFmtId="0" fontId="61" fillId="0" borderId="11" xfId="6" applyFont="1" applyFill="1" applyBorder="1" applyAlignment="1" applyProtection="1">
      <alignment horizontal="center"/>
    </xf>
    <xf numFmtId="9" fontId="61" fillId="40" borderId="0" xfId="0" applyNumberFormat="1" applyFont="1" applyFill="1" applyBorder="1" applyAlignment="1">
      <alignment horizontal="center"/>
    </xf>
    <xf numFmtId="170" fontId="61" fillId="0" borderId="0" xfId="818" applyNumberFormat="1" applyFont="1" applyFill="1" applyBorder="1" applyAlignment="1">
      <alignment horizontal="center"/>
    </xf>
    <xf numFmtId="0" fontId="61" fillId="0" borderId="0" xfId="0" applyFont="1" applyFill="1" applyBorder="1" applyAlignment="1">
      <alignment horizontal="center"/>
    </xf>
    <xf numFmtId="0" fontId="128" fillId="0" borderId="0" xfId="0" applyFont="1" applyFill="1" applyBorder="1" applyAlignment="1">
      <alignment horizontal="center"/>
    </xf>
    <xf numFmtId="0" fontId="128" fillId="0" borderId="11" xfId="0" applyFont="1" applyFill="1" applyBorder="1" applyAlignment="1">
      <alignment horizontal="center"/>
    </xf>
    <xf numFmtId="0" fontId="57" fillId="0" borderId="0" xfId="0" applyFont="1" applyFill="1" applyAlignment="1">
      <alignment horizontal="left" wrapText="1"/>
    </xf>
    <xf numFmtId="0" fontId="67" fillId="0" borderId="0" xfId="1118" applyFont="1" applyFill="1" applyBorder="1" applyAlignment="1">
      <alignment horizontal="center"/>
    </xf>
  </cellXfs>
  <cellStyles count="41281">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E6E6E6"/>
      <color rgb="FFDEDED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tabSelected="1" view="pageBreakPreview" zoomScale="85" zoomScaleNormal="85" zoomScaleSheetLayoutView="85" workbookViewId="0"/>
  </sheetViews>
  <sheetFormatPr defaultColWidth="8.88671875" defaultRowHeight="14.25"/>
  <cols>
    <col min="1" max="1" width="4.21875" style="255" customWidth="1"/>
    <col min="2" max="2" width="17.5546875" style="255" customWidth="1"/>
    <col min="3" max="3" width="4.77734375" style="255" customWidth="1"/>
    <col min="4" max="4" width="10.5546875" style="255" customWidth="1"/>
    <col min="5" max="5" width="4.77734375" style="255" customWidth="1"/>
    <col min="6" max="6" width="12.33203125" style="255" customWidth="1"/>
    <col min="7" max="7" width="11.109375" style="1" customWidth="1"/>
    <col min="8" max="8" width="9.88671875" style="255" bestFit="1" customWidth="1"/>
    <col min="9" max="10" width="9" style="255" bestFit="1" customWidth="1"/>
    <col min="11" max="11" width="9" style="415" bestFit="1" customWidth="1"/>
    <col min="12" max="12" width="9" style="255" bestFit="1" customWidth="1"/>
    <col min="13" max="13" width="2.21875" style="256" customWidth="1"/>
    <col min="14" max="14" width="25.6640625" style="256" customWidth="1"/>
    <col min="15" max="16384" width="8.88671875" style="255"/>
  </cols>
  <sheetData>
    <row r="1" spans="1:14" ht="15">
      <c r="A1" s="259" t="s">
        <v>1180</v>
      </c>
      <c r="B1" s="39"/>
      <c r="D1" s="39"/>
      <c r="E1" s="39"/>
      <c r="F1" s="39"/>
      <c r="G1" s="22"/>
      <c r="H1" s="39"/>
      <c r="I1" s="39"/>
      <c r="J1" s="39"/>
      <c r="N1" s="94" t="s">
        <v>48</v>
      </c>
    </row>
    <row r="2" spans="1:14" ht="15">
      <c r="A2" s="259" t="s">
        <v>47</v>
      </c>
      <c r="B2" s="39"/>
      <c r="C2" s="39"/>
      <c r="D2" s="39"/>
      <c r="E2" s="39"/>
      <c r="F2" s="39"/>
      <c r="G2" s="22"/>
      <c r="H2" s="39"/>
      <c r="I2" s="39"/>
      <c r="J2" s="39"/>
      <c r="K2" s="416"/>
      <c r="N2" s="93" t="s">
        <v>46</v>
      </c>
    </row>
    <row r="3" spans="1:14" ht="15">
      <c r="A3" s="569" t="s">
        <v>1184</v>
      </c>
      <c r="B3" s="459"/>
      <c r="C3" s="570"/>
      <c r="D3" s="571"/>
      <c r="E3" s="570"/>
      <c r="F3" s="459"/>
      <c r="G3" s="22"/>
      <c r="H3" s="15"/>
      <c r="I3" s="34"/>
      <c r="J3" s="27"/>
      <c r="K3" s="417"/>
      <c r="L3" s="21"/>
      <c r="M3" s="15"/>
      <c r="N3" s="15"/>
    </row>
    <row r="4" spans="1:14" s="256" customFormat="1" ht="15">
      <c r="A4" s="572" t="s">
        <v>1185</v>
      </c>
      <c r="B4" s="459"/>
      <c r="C4" s="570"/>
      <c r="D4" s="571"/>
      <c r="E4" s="570"/>
      <c r="F4" s="459"/>
      <c r="G4" s="13"/>
      <c r="H4" s="15"/>
      <c r="I4" s="37"/>
      <c r="J4" s="37"/>
      <c r="K4" s="417"/>
      <c r="L4" s="15"/>
      <c r="M4" s="15"/>
      <c r="N4" s="15"/>
    </row>
    <row r="5" spans="1:14" ht="15">
      <c r="A5" s="276"/>
      <c r="B5" s="21"/>
      <c r="C5" s="21"/>
      <c r="D5" s="21"/>
      <c r="E5" s="21"/>
      <c r="F5" s="21"/>
      <c r="G5" s="22"/>
      <c r="H5" s="21"/>
      <c r="I5" s="37"/>
      <c r="J5" s="37"/>
      <c r="K5" s="417"/>
      <c r="L5" s="21"/>
      <c r="M5" s="15"/>
      <c r="N5" s="15"/>
    </row>
    <row r="6" spans="1:14" ht="15">
      <c r="A6" s="34" t="s">
        <v>45</v>
      </c>
      <c r="B6" s="35"/>
      <c r="C6" s="35"/>
      <c r="D6" s="35"/>
      <c r="E6" s="35"/>
      <c r="F6" s="34"/>
      <c r="G6" s="33" t="s">
        <v>44</v>
      </c>
      <c r="H6" s="28" t="s">
        <v>43</v>
      </c>
      <c r="I6" s="28" t="s">
        <v>42</v>
      </c>
      <c r="J6" s="28" t="s">
        <v>41</v>
      </c>
      <c r="K6" s="418" t="s">
        <v>40</v>
      </c>
      <c r="L6" s="28" t="s">
        <v>39</v>
      </c>
      <c r="M6" s="27"/>
      <c r="N6" s="27"/>
    </row>
    <row r="7" spans="1:14" ht="15">
      <c r="A7" s="35"/>
      <c r="B7" s="35"/>
      <c r="C7" s="35"/>
      <c r="D7" s="35"/>
      <c r="E7" s="35"/>
      <c r="F7" s="34"/>
      <c r="G7" s="33"/>
      <c r="H7" s="28"/>
      <c r="I7" s="36" t="s">
        <v>38</v>
      </c>
      <c r="J7" s="36" t="s">
        <v>37</v>
      </c>
      <c r="K7" s="419" t="s">
        <v>336</v>
      </c>
      <c r="L7" s="36" t="s">
        <v>337</v>
      </c>
      <c r="M7" s="27"/>
      <c r="N7" s="27"/>
    </row>
    <row r="8" spans="1:14" ht="15">
      <c r="A8" s="35"/>
      <c r="B8" s="35"/>
      <c r="C8" s="35"/>
      <c r="D8" s="35"/>
      <c r="E8" s="35"/>
      <c r="F8" s="34"/>
      <c r="G8" s="33"/>
      <c r="H8" s="28"/>
      <c r="I8" s="28"/>
      <c r="J8" s="28"/>
      <c r="K8" s="418"/>
      <c r="L8" s="28"/>
      <c r="M8" s="27"/>
      <c r="N8" s="27"/>
    </row>
    <row r="9" spans="1:14" ht="15">
      <c r="A9" s="35"/>
      <c r="B9" s="35"/>
      <c r="C9" s="35"/>
      <c r="D9" s="35"/>
      <c r="E9" s="35"/>
      <c r="F9" s="34"/>
      <c r="G9" s="33"/>
      <c r="H9" s="28" t="s">
        <v>36</v>
      </c>
      <c r="I9" s="28" t="s">
        <v>35</v>
      </c>
      <c r="J9" s="28" t="s">
        <v>34</v>
      </c>
      <c r="K9" s="418" t="s">
        <v>33</v>
      </c>
      <c r="L9" s="28" t="s">
        <v>32</v>
      </c>
      <c r="M9" s="27"/>
      <c r="N9" s="27"/>
    </row>
    <row r="10" spans="1:14" ht="15">
      <c r="A10" s="32"/>
      <c r="B10" s="31"/>
      <c r="C10" s="31"/>
      <c r="D10" s="31"/>
      <c r="E10" s="31"/>
      <c r="F10" s="30"/>
      <c r="G10" s="29"/>
      <c r="H10" s="28" t="s">
        <v>30</v>
      </c>
      <c r="I10" s="28" t="s">
        <v>29</v>
      </c>
      <c r="J10" s="28" t="s">
        <v>28</v>
      </c>
      <c r="K10" s="418" t="s">
        <v>27</v>
      </c>
      <c r="L10" s="28" t="s">
        <v>26</v>
      </c>
      <c r="M10" s="27"/>
      <c r="N10" s="27"/>
    </row>
    <row r="11" spans="1:14" ht="15">
      <c r="A11" s="26" t="s">
        <v>14</v>
      </c>
      <c r="B11" s="25" t="s">
        <v>31</v>
      </c>
      <c r="C11" s="25"/>
      <c r="D11" s="25"/>
      <c r="E11" s="25"/>
      <c r="F11" s="24"/>
      <c r="G11" s="567" t="s">
        <v>12</v>
      </c>
      <c r="H11" s="254" t="s">
        <v>575</v>
      </c>
      <c r="I11" s="254" t="s">
        <v>575</v>
      </c>
      <c r="J11" s="254" t="s">
        <v>575</v>
      </c>
      <c r="K11" s="254" t="s">
        <v>576</v>
      </c>
      <c r="L11" s="254" t="s">
        <v>577</v>
      </c>
      <c r="M11" s="567"/>
      <c r="N11" s="567" t="s">
        <v>25</v>
      </c>
    </row>
    <row r="12" spans="1:14">
      <c r="B12" s="20"/>
      <c r="C12" s="20"/>
      <c r="D12" s="20"/>
      <c r="E12" s="20"/>
      <c r="F12" s="14"/>
      <c r="G12" s="13"/>
      <c r="H12" s="15"/>
      <c r="I12" s="15"/>
      <c r="J12" s="15"/>
      <c r="K12" s="420"/>
      <c r="L12" s="15"/>
      <c r="M12" s="15"/>
      <c r="N12" s="15"/>
    </row>
    <row r="13" spans="1:14" ht="15">
      <c r="A13" s="21">
        <v>1</v>
      </c>
      <c r="B13" s="23" t="s">
        <v>24</v>
      </c>
      <c r="C13" s="23"/>
      <c r="D13" s="23"/>
      <c r="E13" s="23"/>
      <c r="F13" s="23"/>
      <c r="G13" s="22"/>
      <c r="H13" s="21"/>
      <c r="I13" s="20"/>
      <c r="J13" s="20"/>
      <c r="K13" s="421"/>
      <c r="L13" s="20"/>
      <c r="M13" s="14"/>
      <c r="N13" s="258"/>
    </row>
    <row r="14" spans="1:14">
      <c r="A14" s="21">
        <v>2</v>
      </c>
      <c r="B14" s="20" t="s">
        <v>522</v>
      </c>
      <c r="C14" s="20"/>
      <c r="D14" s="20"/>
      <c r="E14" s="20"/>
      <c r="F14" s="20"/>
      <c r="G14" s="780">
        <f>'Exhibit 10'!D13</f>
        <v>488007.26</v>
      </c>
      <c r="H14" s="256"/>
      <c r="I14" s="256"/>
      <c r="J14" s="256"/>
      <c r="K14" s="453"/>
      <c r="L14" s="256"/>
      <c r="N14" s="258" t="s">
        <v>1198</v>
      </c>
    </row>
    <row r="15" spans="1:14">
      <c r="A15" s="15">
        <v>3</v>
      </c>
      <c r="B15" s="14" t="s">
        <v>367</v>
      </c>
      <c r="C15" s="14"/>
      <c r="D15" s="14"/>
      <c r="E15" s="14"/>
      <c r="F15" s="14"/>
      <c r="G15" s="781">
        <f>+'Exhibit 8'!C24*1000</f>
        <v>94234.250000000015</v>
      </c>
      <c r="H15" s="256"/>
      <c r="I15" s="256"/>
      <c r="J15" s="256"/>
      <c r="K15" s="453"/>
      <c r="L15" s="256"/>
      <c r="N15" s="258" t="s">
        <v>304</v>
      </c>
    </row>
    <row r="16" spans="1:14">
      <c r="A16" s="15">
        <v>4</v>
      </c>
      <c r="B16" s="14" t="s">
        <v>17</v>
      </c>
      <c r="C16" s="14"/>
      <c r="D16" s="14"/>
      <c r="E16" s="14"/>
      <c r="F16" s="14"/>
      <c r="G16" s="13"/>
      <c r="H16" s="782">
        <f>ROUND(G14/G15,2)</f>
        <v>5.18</v>
      </c>
      <c r="I16" s="783">
        <f>ROUND(H16/12,2)</f>
        <v>0.43</v>
      </c>
      <c r="J16" s="783">
        <f>ROUND(H16/52,2)</f>
        <v>0.1</v>
      </c>
      <c r="K16" s="784">
        <f>ROUND(J16/5,3)</f>
        <v>0.02</v>
      </c>
      <c r="L16" s="785">
        <f>ROUND(K16/16,4)</f>
        <v>1.2999999999999999E-3</v>
      </c>
      <c r="M16" s="10"/>
      <c r="N16" s="258" t="s">
        <v>305</v>
      </c>
    </row>
    <row r="17" spans="1:14">
      <c r="A17" s="15">
        <v>5</v>
      </c>
      <c r="B17" s="14"/>
      <c r="C17" s="14"/>
      <c r="D17" s="14"/>
      <c r="E17" s="14"/>
      <c r="F17" s="14"/>
      <c r="G17" s="13"/>
      <c r="H17" s="545"/>
      <c r="I17" s="544"/>
      <c r="J17" s="544"/>
      <c r="K17" s="422"/>
      <c r="L17" s="543"/>
      <c r="M17" s="10"/>
      <c r="N17" s="258"/>
    </row>
    <row r="18" spans="1:14" ht="15">
      <c r="A18" s="15">
        <v>6</v>
      </c>
      <c r="B18" s="18" t="s">
        <v>23</v>
      </c>
      <c r="C18" s="18"/>
      <c r="D18" s="18"/>
      <c r="E18" s="18"/>
      <c r="F18" s="18"/>
      <c r="G18" s="13"/>
      <c r="H18" s="544"/>
      <c r="I18" s="544"/>
      <c r="J18" s="544"/>
      <c r="K18" s="422"/>
      <c r="L18" s="543"/>
      <c r="M18" s="10"/>
      <c r="N18" s="258"/>
    </row>
    <row r="19" spans="1:14">
      <c r="A19" s="15">
        <v>7</v>
      </c>
      <c r="B19" s="14" t="s">
        <v>22</v>
      </c>
      <c r="C19" s="14"/>
      <c r="D19" s="14"/>
      <c r="E19" s="14"/>
      <c r="F19" s="14"/>
      <c r="G19" s="901">
        <v>90000</v>
      </c>
      <c r="H19" s="544"/>
      <c r="I19" s="544"/>
      <c r="J19" s="544"/>
      <c r="K19" s="422"/>
      <c r="L19" s="543"/>
      <c r="M19" s="10"/>
      <c r="N19" s="258" t="s">
        <v>102</v>
      </c>
    </row>
    <row r="20" spans="1:14">
      <c r="A20" s="15">
        <v>8</v>
      </c>
      <c r="B20" s="14" t="s">
        <v>367</v>
      </c>
      <c r="C20" s="14"/>
      <c r="D20" s="14"/>
      <c r="E20" s="14"/>
      <c r="F20" s="14"/>
      <c r="G20" s="786">
        <f>G15</f>
        <v>94234.250000000015</v>
      </c>
      <c r="H20" s="548"/>
      <c r="I20" s="547"/>
      <c r="J20" s="547"/>
      <c r="K20" s="552"/>
      <c r="L20" s="546"/>
      <c r="M20" s="19"/>
      <c r="N20" s="258" t="s">
        <v>304</v>
      </c>
    </row>
    <row r="21" spans="1:14">
      <c r="A21" s="15">
        <v>9</v>
      </c>
      <c r="B21" s="14" t="s">
        <v>17</v>
      </c>
      <c r="C21" s="14"/>
      <c r="D21" s="14"/>
      <c r="E21" s="14"/>
      <c r="F21" s="14"/>
      <c r="G21" s="13"/>
      <c r="H21" s="782">
        <f>ROUND(G19/G20,2)</f>
        <v>0.96</v>
      </c>
      <c r="I21" s="783">
        <f>ROUND(H21/12,2)</f>
        <v>0.08</v>
      </c>
      <c r="J21" s="783">
        <f>ROUND(H21/52,2)</f>
        <v>0.02</v>
      </c>
      <c r="K21" s="784">
        <f>ROUND(J21/5,3)</f>
        <v>4.0000000000000001E-3</v>
      </c>
      <c r="L21" s="785">
        <f>ROUND(K21/16,4)</f>
        <v>2.9999999999999997E-4</v>
      </c>
      <c r="M21" s="10"/>
      <c r="N21" s="258" t="s">
        <v>21</v>
      </c>
    </row>
    <row r="22" spans="1:14">
      <c r="A22" s="15">
        <v>10</v>
      </c>
      <c r="B22" s="14"/>
      <c r="C22" s="14"/>
      <c r="D22" s="14"/>
      <c r="F22" s="14"/>
      <c r="G22" s="13"/>
      <c r="H22" s="548"/>
      <c r="I22" s="547"/>
      <c r="J22" s="547"/>
      <c r="K22" s="552"/>
      <c r="L22" s="546"/>
      <c r="M22" s="19"/>
      <c r="N22" s="258"/>
    </row>
    <row r="23" spans="1:14" ht="15">
      <c r="A23" s="15">
        <v>11</v>
      </c>
      <c r="B23" s="18" t="s">
        <v>20</v>
      </c>
      <c r="C23" s="18"/>
      <c r="D23" s="18"/>
      <c r="E23" s="18"/>
      <c r="F23" s="18"/>
      <c r="G23" s="331"/>
      <c r="H23" s="544"/>
      <c r="I23" s="544"/>
      <c r="J23" s="544"/>
      <c r="K23" s="422"/>
      <c r="L23" s="543"/>
      <c r="M23" s="16"/>
      <c r="N23" s="252"/>
    </row>
    <row r="24" spans="1:14">
      <c r="A24" s="15">
        <v>12</v>
      </c>
      <c r="B24" s="17" t="s">
        <v>18</v>
      </c>
      <c r="C24" s="17"/>
      <c r="D24" s="17"/>
      <c r="E24" s="17"/>
      <c r="F24" s="17"/>
      <c r="G24" s="778">
        <f>'Exhibit 2'!$C$43</f>
        <v>8695788.9618464895</v>
      </c>
      <c r="H24" s="544"/>
      <c r="I24" s="544"/>
      <c r="J24" s="544"/>
      <c r="K24" s="422"/>
      <c r="L24" s="543"/>
      <c r="M24" s="16"/>
      <c r="N24" s="501" t="s">
        <v>687</v>
      </c>
    </row>
    <row r="25" spans="1:14">
      <c r="A25" s="15">
        <v>13</v>
      </c>
      <c r="B25" s="14" t="s">
        <v>367</v>
      </c>
      <c r="C25" s="14"/>
      <c r="D25" s="14"/>
      <c r="E25" s="14"/>
      <c r="F25" s="14"/>
      <c r="G25" s="786">
        <f>G15</f>
        <v>94234.250000000015</v>
      </c>
      <c r="H25" s="545"/>
      <c r="I25" s="544"/>
      <c r="J25" s="544"/>
      <c r="K25" s="422"/>
      <c r="L25" s="543"/>
      <c r="M25" s="10"/>
      <c r="N25" s="258" t="s">
        <v>304</v>
      </c>
    </row>
    <row r="26" spans="1:14">
      <c r="A26" s="15">
        <v>14</v>
      </c>
      <c r="B26" s="14" t="s">
        <v>17</v>
      </c>
      <c r="C26" s="14"/>
      <c r="D26" s="14"/>
      <c r="E26" s="14"/>
      <c r="F26" s="14"/>
      <c r="G26" s="13"/>
      <c r="H26" s="782">
        <f>ROUND(G24/G25,2)</f>
        <v>92.28</v>
      </c>
      <c r="I26" s="783">
        <f>ROUND(H26/12,2)</f>
        <v>7.69</v>
      </c>
      <c r="J26" s="783">
        <f>ROUND(H26/52,2)</f>
        <v>1.77</v>
      </c>
      <c r="K26" s="784">
        <f>ROUND(J26/5,3)</f>
        <v>0.35399999999999998</v>
      </c>
      <c r="L26" s="785">
        <f>ROUND(K26/16,4)</f>
        <v>2.2100000000000002E-2</v>
      </c>
      <c r="M26" s="10"/>
      <c r="N26" s="258" t="s">
        <v>306</v>
      </c>
    </row>
    <row r="27" spans="1:14">
      <c r="A27" s="15">
        <v>15</v>
      </c>
      <c r="G27" s="331"/>
      <c r="H27" s="553"/>
      <c r="I27" s="553"/>
      <c r="J27" s="553"/>
      <c r="K27" s="453"/>
      <c r="L27" s="554"/>
      <c r="N27" s="455"/>
    </row>
    <row r="28" spans="1:14" ht="15">
      <c r="A28" s="15">
        <v>16</v>
      </c>
      <c r="B28" s="18" t="s">
        <v>19</v>
      </c>
      <c r="C28" s="18"/>
      <c r="D28" s="18"/>
      <c r="E28" s="18"/>
      <c r="F28" s="18"/>
      <c r="G28" s="331"/>
      <c r="H28" s="544"/>
      <c r="I28" s="544"/>
      <c r="J28" s="544"/>
      <c r="K28" s="422"/>
      <c r="L28" s="543"/>
      <c r="M28" s="16"/>
      <c r="N28" s="252"/>
    </row>
    <row r="29" spans="1:14">
      <c r="A29" s="15">
        <v>17</v>
      </c>
      <c r="B29" s="17" t="s">
        <v>18</v>
      </c>
      <c r="C29" s="17"/>
      <c r="D29" s="17"/>
      <c r="E29" s="17"/>
      <c r="F29" s="17"/>
      <c r="G29" s="778">
        <f>'Exhibit 2'!$C$43</f>
        <v>8695788.9618464895</v>
      </c>
      <c r="H29" s="544"/>
      <c r="I29" s="544"/>
      <c r="J29" s="544"/>
      <c r="K29" s="422"/>
      <c r="L29" s="543"/>
      <c r="M29" s="16"/>
      <c r="N29" s="501" t="s">
        <v>687</v>
      </c>
    </row>
    <row r="30" spans="1:14">
      <c r="A30" s="15">
        <v>18</v>
      </c>
      <c r="B30" s="14" t="s">
        <v>367</v>
      </c>
      <c r="C30" s="14"/>
      <c r="D30" s="14"/>
      <c r="E30" s="14"/>
      <c r="F30" s="14"/>
      <c r="G30" s="786">
        <f>G25</f>
        <v>94234.250000000015</v>
      </c>
      <c r="H30" s="545"/>
      <c r="I30" s="544"/>
      <c r="J30" s="544"/>
      <c r="K30" s="422"/>
      <c r="L30" s="543"/>
      <c r="M30" s="10"/>
      <c r="N30" s="258" t="s">
        <v>304</v>
      </c>
    </row>
    <row r="31" spans="1:14">
      <c r="A31" s="15">
        <v>19</v>
      </c>
      <c r="B31" s="14" t="s">
        <v>17</v>
      </c>
      <c r="C31" s="14"/>
      <c r="D31" s="14"/>
      <c r="E31" s="14"/>
      <c r="F31" s="14"/>
      <c r="G31" s="13"/>
      <c r="H31" s="782">
        <f>ROUND(G29/G30,2)</f>
        <v>92.28</v>
      </c>
      <c r="I31" s="783">
        <f>ROUND(H31/12,2)</f>
        <v>7.69</v>
      </c>
      <c r="J31" s="783">
        <f>ROUND(H31/52,2)</f>
        <v>1.77</v>
      </c>
      <c r="K31" s="784">
        <f>ROUND(J31/5,3)</f>
        <v>0.35399999999999998</v>
      </c>
      <c r="L31" s="785">
        <f>ROUND(K31/16,4)</f>
        <v>2.2100000000000002E-2</v>
      </c>
      <c r="M31" s="10"/>
      <c r="N31" s="258" t="s">
        <v>307</v>
      </c>
    </row>
    <row r="32" spans="1:14">
      <c r="A32" s="15">
        <v>20</v>
      </c>
      <c r="B32" s="14"/>
      <c r="C32" s="14"/>
      <c r="D32" s="14"/>
      <c r="E32" s="14"/>
      <c r="F32" s="14"/>
      <c r="G32" s="13"/>
      <c r="H32" s="545"/>
      <c r="I32" s="544"/>
      <c r="J32" s="544"/>
      <c r="K32" s="422"/>
      <c r="L32" s="543"/>
      <c r="M32" s="10"/>
      <c r="N32" s="258"/>
    </row>
    <row r="33" spans="1:15" ht="15">
      <c r="A33" s="15">
        <v>21</v>
      </c>
      <c r="B33" s="18" t="s">
        <v>523</v>
      </c>
      <c r="C33" s="18"/>
      <c r="D33" s="18"/>
      <c r="E33" s="18"/>
      <c r="F33" s="18"/>
      <c r="G33" s="331"/>
      <c r="H33" s="544"/>
      <c r="I33" s="544"/>
      <c r="J33" s="544"/>
      <c r="K33" s="422"/>
      <c r="L33" s="543"/>
      <c r="M33" s="16"/>
      <c r="N33" s="252"/>
    </row>
    <row r="34" spans="1:15">
      <c r="A34" s="15">
        <v>22</v>
      </c>
      <c r="B34" s="17" t="s">
        <v>18</v>
      </c>
      <c r="C34" s="17"/>
      <c r="D34" s="17"/>
      <c r="E34" s="17"/>
      <c r="F34" s="17"/>
      <c r="G34" s="778">
        <f>'Exhibit 2'!$C$43</f>
        <v>8695788.9618464895</v>
      </c>
      <c r="H34" s="544"/>
      <c r="I34" s="544"/>
      <c r="J34" s="544"/>
      <c r="K34" s="422"/>
      <c r="L34" s="543"/>
      <c r="M34" s="16"/>
      <c r="N34" s="501" t="s">
        <v>687</v>
      </c>
    </row>
    <row r="35" spans="1:15">
      <c r="A35" s="15">
        <v>23</v>
      </c>
      <c r="B35" s="14" t="s">
        <v>367</v>
      </c>
      <c r="C35" s="14"/>
      <c r="D35" s="14"/>
      <c r="E35" s="14"/>
      <c r="F35" s="14"/>
      <c r="G35" s="786">
        <f>G30</f>
        <v>94234.250000000015</v>
      </c>
      <c r="H35" s="545"/>
      <c r="I35" s="544"/>
      <c r="J35" s="544"/>
      <c r="K35" s="422"/>
      <c r="L35" s="543"/>
      <c r="M35" s="10"/>
      <c r="N35" s="258" t="s">
        <v>304</v>
      </c>
    </row>
    <row r="36" spans="1:15">
      <c r="A36" s="15">
        <v>24</v>
      </c>
      <c r="B36" s="14" t="s">
        <v>17</v>
      </c>
      <c r="C36" s="14"/>
      <c r="D36" s="14"/>
      <c r="E36" s="14"/>
      <c r="F36" s="14"/>
      <c r="G36" s="13"/>
      <c r="H36" s="782">
        <f>ROUND(G34/G35,2)</f>
        <v>92.28</v>
      </c>
      <c r="I36" s="783">
        <f>ROUND(H36/12,2)</f>
        <v>7.69</v>
      </c>
      <c r="J36" s="783">
        <f>ROUND(H36/52,2)</f>
        <v>1.77</v>
      </c>
      <c r="K36" s="784">
        <f>ROUND(J36/5,3)</f>
        <v>0.35399999999999998</v>
      </c>
      <c r="L36" s="785">
        <f>ROUND(K36/16,4)</f>
        <v>2.2100000000000002E-2</v>
      </c>
      <c r="M36" s="10"/>
      <c r="N36" s="258" t="s">
        <v>596</v>
      </c>
    </row>
    <row r="37" spans="1:15">
      <c r="A37" s="15"/>
      <c r="B37" s="14"/>
      <c r="C37" s="14"/>
      <c r="D37" s="14"/>
      <c r="E37" s="14"/>
      <c r="F37" s="14"/>
      <c r="G37" s="13"/>
      <c r="H37" s="12"/>
      <c r="I37" s="11"/>
      <c r="J37" s="11"/>
      <c r="K37" s="422"/>
      <c r="L37" s="10"/>
      <c r="M37" s="10"/>
      <c r="N37" s="258"/>
    </row>
    <row r="38" spans="1:15">
      <c r="A38" s="9" t="s">
        <v>11</v>
      </c>
      <c r="B38" s="8"/>
      <c r="C38" s="8"/>
      <c r="D38" s="8"/>
      <c r="E38" s="8"/>
      <c r="F38" s="8"/>
      <c r="G38" s="7"/>
      <c r="H38" s="6"/>
      <c r="I38" s="6"/>
      <c r="J38" s="6"/>
      <c r="K38" s="423"/>
      <c r="L38" s="6"/>
      <c r="M38" s="6"/>
      <c r="N38" s="257"/>
      <c r="O38" s="256"/>
    </row>
    <row r="39" spans="1:15">
      <c r="A39" s="4">
        <v>1</v>
      </c>
      <c r="B39" s="442" t="s">
        <v>15</v>
      </c>
      <c r="C39" s="442"/>
      <c r="D39" s="442"/>
      <c r="E39" s="442"/>
      <c r="F39" s="442"/>
      <c r="G39" s="443"/>
      <c r="H39" s="444"/>
      <c r="I39" s="444"/>
      <c r="J39" s="444"/>
      <c r="K39" s="445"/>
      <c r="L39" s="446"/>
      <c r="M39" s="446"/>
      <c r="N39" s="444"/>
      <c r="O39" s="256"/>
    </row>
    <row r="40" spans="1:15" ht="29.25" customHeight="1">
      <c r="A40" s="5">
        <v>2</v>
      </c>
      <c r="B40" s="939" t="s">
        <v>16</v>
      </c>
      <c r="C40" s="939"/>
      <c r="D40" s="939"/>
      <c r="E40" s="939"/>
      <c r="F40" s="939"/>
      <c r="G40" s="939"/>
      <c r="H40" s="939"/>
      <c r="I40" s="939"/>
      <c r="J40" s="939"/>
      <c r="K40" s="939"/>
      <c r="L40" s="939"/>
      <c r="M40" s="939"/>
      <c r="N40" s="939"/>
      <c r="O40" s="256"/>
    </row>
    <row r="41" spans="1:15">
      <c r="A41" s="253">
        <v>3</v>
      </c>
      <c r="B41" s="256" t="s">
        <v>578</v>
      </c>
      <c r="C41" s="256"/>
      <c r="D41" s="256"/>
      <c r="E41" s="256"/>
      <c r="F41" s="256"/>
      <c r="G41" s="331"/>
      <c r="H41" s="256"/>
      <c r="I41" s="256"/>
      <c r="J41" s="256"/>
      <c r="K41" s="453"/>
    </row>
    <row r="42" spans="1:15">
      <c r="A42" s="253">
        <v>4</v>
      </c>
      <c r="B42" s="256" t="s">
        <v>579</v>
      </c>
      <c r="C42" s="256"/>
      <c r="D42" s="256"/>
      <c r="E42" s="256"/>
      <c r="F42" s="256"/>
      <c r="G42" s="331"/>
      <c r="H42" s="256"/>
      <c r="I42" s="256"/>
      <c r="J42" s="256"/>
      <c r="K42" s="453"/>
    </row>
    <row r="43" spans="1:15">
      <c r="A43" s="253">
        <v>5</v>
      </c>
      <c r="B43" s="256" t="s">
        <v>580</v>
      </c>
      <c r="C43" s="256"/>
      <c r="D43" s="256"/>
      <c r="E43" s="256"/>
      <c r="F43" s="256"/>
      <c r="G43" s="331"/>
      <c r="H43" s="256"/>
      <c r="I43" s="256"/>
      <c r="J43" s="256"/>
      <c r="K43" s="453"/>
    </row>
    <row r="44" spans="1:15">
      <c r="A44" s="253">
        <v>6</v>
      </c>
      <c r="B44" s="256" t="s">
        <v>581</v>
      </c>
      <c r="C44" s="256"/>
      <c r="D44" s="256"/>
      <c r="E44" s="256"/>
      <c r="F44" s="256"/>
      <c r="G44" s="331"/>
      <c r="H44" s="256"/>
      <c r="I44" s="256"/>
      <c r="J44" s="256"/>
      <c r="K44" s="453"/>
    </row>
    <row r="45" spans="1:15">
      <c r="G45" s="2"/>
    </row>
    <row r="46" spans="1:15">
      <c r="G46" s="2"/>
    </row>
    <row r="47" spans="1:15">
      <c r="G47" s="2"/>
    </row>
    <row r="48" spans="1:15">
      <c r="G48" s="2"/>
    </row>
    <row r="49" spans="7:7">
      <c r="G49" s="2"/>
    </row>
    <row r="50" spans="7:7">
      <c r="G50" s="2"/>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81" zoomScaleNormal="100" zoomScaleSheetLayoutView="81" workbookViewId="0"/>
  </sheetViews>
  <sheetFormatPr defaultColWidth="8.88671875" defaultRowHeight="14.25"/>
  <cols>
    <col min="1" max="1" width="4.21875" style="255" customWidth="1"/>
    <col min="2" max="2" width="8.88671875" style="255"/>
    <col min="3" max="3" width="54.77734375" style="255" customWidth="1"/>
    <col min="4" max="4" width="15.21875" style="255" customWidth="1"/>
    <col min="5" max="16384" width="8.88671875" style="255"/>
  </cols>
  <sheetData>
    <row r="1" spans="1:5" ht="15">
      <c r="A1" s="259" t="str">
        <f>'Exhibit 1a'!A1</f>
        <v>VERSANT POWER – MAINE PUBLIC DISTRICT OATT</v>
      </c>
      <c r="B1" s="76"/>
      <c r="D1" s="196" t="s">
        <v>48</v>
      </c>
    </row>
    <row r="2" spans="1:5" ht="15">
      <c r="A2" s="259" t="str">
        <f>'Exhibit 1a'!A2</f>
        <v>ATTACHMENT J FORMULA RATES</v>
      </c>
      <c r="B2" s="76"/>
      <c r="C2" s="39"/>
      <c r="D2" s="196" t="s">
        <v>267</v>
      </c>
    </row>
    <row r="3" spans="1:5" ht="15">
      <c r="A3" s="259" t="str">
        <f>'Exhibit 1a'!A3</f>
        <v>RATE YEAR JUNE 1, 2020 TO MAY 31, 2021</v>
      </c>
      <c r="B3" s="76"/>
      <c r="C3" s="39"/>
    </row>
    <row r="4" spans="1:5" s="256" customFormat="1" ht="15">
      <c r="A4" s="259" t="str">
        <f>'Exhibit 1a'!A4</f>
        <v>Actual ATRR &amp; CHARGES BASED ON ACTUAL CY 2020 VALUES</v>
      </c>
      <c r="B4" s="76"/>
      <c r="C4" s="76"/>
    </row>
    <row r="5" spans="1:5" ht="15">
      <c r="A5" s="275"/>
      <c r="B5" s="143"/>
      <c r="C5" s="221"/>
    </row>
    <row r="6" spans="1:5" ht="15">
      <c r="A6" s="54" t="s">
        <v>266</v>
      </c>
      <c r="B6" s="220"/>
      <c r="C6" s="219"/>
      <c r="D6" s="414" t="s">
        <v>414</v>
      </c>
      <c r="E6" s="213"/>
    </row>
    <row r="7" spans="1:5" ht="15">
      <c r="A7" s="256"/>
      <c r="B7" s="220"/>
      <c r="C7" s="219"/>
      <c r="D7" s="218" t="s">
        <v>265</v>
      </c>
      <c r="E7" s="213"/>
    </row>
    <row r="8" spans="1:5" ht="15">
      <c r="A8" s="217" t="s">
        <v>14</v>
      </c>
      <c r="B8" s="216" t="s">
        <v>264</v>
      </c>
      <c r="C8" s="215"/>
      <c r="D8" s="214" t="s">
        <v>263</v>
      </c>
      <c r="E8" s="213"/>
    </row>
    <row r="9" spans="1:5" ht="15">
      <c r="A9" s="256"/>
      <c r="B9" s="212"/>
      <c r="C9" s="209"/>
      <c r="D9" s="210"/>
      <c r="E9" s="209"/>
    </row>
    <row r="10" spans="1:5" ht="15">
      <c r="A10" s="78">
        <v>1</v>
      </c>
      <c r="B10" s="211" t="s">
        <v>5</v>
      </c>
      <c r="D10" s="210"/>
      <c r="E10" s="209"/>
    </row>
    <row r="11" spans="1:5">
      <c r="A11" s="202">
        <v>2</v>
      </c>
      <c r="B11" s="115">
        <v>350.2</v>
      </c>
      <c r="C11" s="115" t="s">
        <v>262</v>
      </c>
      <c r="D11" s="208">
        <v>1.23</v>
      </c>
    </row>
    <row r="12" spans="1:5">
      <c r="A12" s="202">
        <v>3</v>
      </c>
      <c r="B12" s="115">
        <v>352</v>
      </c>
      <c r="C12" s="168" t="s">
        <v>261</v>
      </c>
      <c r="D12" s="208">
        <v>1.91</v>
      </c>
    </row>
    <row r="13" spans="1:5">
      <c r="A13" s="202">
        <v>4</v>
      </c>
      <c r="B13" s="115">
        <v>353</v>
      </c>
      <c r="C13" s="168" t="s">
        <v>1</v>
      </c>
      <c r="D13" s="208">
        <v>1.74</v>
      </c>
    </row>
    <row r="14" spans="1:5">
      <c r="A14" s="202">
        <v>5</v>
      </c>
      <c r="B14" s="115">
        <v>355.1</v>
      </c>
      <c r="C14" s="168" t="s">
        <v>0</v>
      </c>
      <c r="D14" s="208">
        <v>2.34</v>
      </c>
    </row>
    <row r="15" spans="1:5">
      <c r="A15" s="202">
        <v>6</v>
      </c>
      <c r="B15" s="115">
        <v>355.2</v>
      </c>
      <c r="C15" s="168" t="s">
        <v>260</v>
      </c>
      <c r="D15" s="208">
        <v>1.2</v>
      </c>
    </row>
    <row r="16" spans="1:5">
      <c r="A16" s="202">
        <v>7</v>
      </c>
      <c r="B16" s="115">
        <v>356</v>
      </c>
      <c r="C16" s="168" t="s">
        <v>259</v>
      </c>
      <c r="D16" s="208">
        <v>2.25</v>
      </c>
    </row>
    <row r="17" spans="1:5">
      <c r="A17" s="202"/>
      <c r="B17" s="115"/>
      <c r="C17" s="168"/>
      <c r="D17" s="208"/>
    </row>
    <row r="18" spans="1:5" ht="15">
      <c r="A18" s="202">
        <v>8</v>
      </c>
      <c r="B18" s="207" t="s">
        <v>258</v>
      </c>
      <c r="D18" s="688"/>
    </row>
    <row r="19" spans="1:5">
      <c r="A19" s="202">
        <v>9</v>
      </c>
      <c r="B19" s="204">
        <v>390</v>
      </c>
      <c r="C19" s="205" t="s">
        <v>2</v>
      </c>
      <c r="D19" s="863">
        <v>1.6</v>
      </c>
    </row>
    <row r="20" spans="1:5">
      <c r="A20" s="202">
        <v>10</v>
      </c>
      <c r="B20" s="204">
        <v>391.1</v>
      </c>
      <c r="C20" s="205" t="s">
        <v>257</v>
      </c>
      <c r="D20" s="863">
        <v>4.6500000000000004</v>
      </c>
    </row>
    <row r="21" spans="1:5">
      <c r="A21" s="202">
        <v>11</v>
      </c>
      <c r="B21" s="206">
        <v>391.12</v>
      </c>
      <c r="C21" s="204" t="s">
        <v>256</v>
      </c>
      <c r="D21" s="863">
        <v>17.5</v>
      </c>
    </row>
    <row r="22" spans="1:5">
      <c r="A22" s="202">
        <v>12</v>
      </c>
      <c r="B22" s="204">
        <v>392</v>
      </c>
      <c r="C22" s="204" t="s">
        <v>255</v>
      </c>
      <c r="D22" s="863">
        <v>2.77</v>
      </c>
    </row>
    <row r="23" spans="1:5">
      <c r="A23" s="202">
        <v>13</v>
      </c>
      <c r="B23" s="204">
        <v>393</v>
      </c>
      <c r="C23" s="203" t="s">
        <v>254</v>
      </c>
      <c r="D23" s="863">
        <v>5.82</v>
      </c>
    </row>
    <row r="24" spans="1:5">
      <c r="A24" s="202">
        <v>14</v>
      </c>
      <c r="B24" s="204">
        <v>394</v>
      </c>
      <c r="C24" s="204" t="s">
        <v>253</v>
      </c>
      <c r="D24" s="863">
        <v>5.2</v>
      </c>
    </row>
    <row r="25" spans="1:5">
      <c r="A25" s="202">
        <v>15</v>
      </c>
      <c r="B25" s="204">
        <v>395</v>
      </c>
      <c r="C25" s="203" t="s">
        <v>252</v>
      </c>
      <c r="D25" s="863">
        <v>6.26</v>
      </c>
    </row>
    <row r="26" spans="1:5">
      <c r="A26" s="202">
        <v>16</v>
      </c>
      <c r="B26" s="204">
        <v>396</v>
      </c>
      <c r="C26" s="203" t="s">
        <v>251</v>
      </c>
      <c r="D26" s="863">
        <v>0.61</v>
      </c>
    </row>
    <row r="27" spans="1:5">
      <c r="A27" s="202">
        <v>17</v>
      </c>
      <c r="B27" s="204">
        <v>397</v>
      </c>
      <c r="C27" s="205" t="s">
        <v>250</v>
      </c>
      <c r="D27" s="863">
        <v>3.21</v>
      </c>
    </row>
    <row r="28" spans="1:5">
      <c r="A28" s="202">
        <v>18</v>
      </c>
      <c r="B28" s="204">
        <v>398</v>
      </c>
      <c r="C28" s="203" t="s">
        <v>249</v>
      </c>
      <c r="D28" s="863">
        <v>6.76</v>
      </c>
    </row>
    <row r="29" spans="1:5">
      <c r="A29" s="202"/>
      <c r="B29" s="201"/>
      <c r="C29" s="200"/>
      <c r="D29" s="57"/>
    </row>
    <row r="30" spans="1:5">
      <c r="A30" s="199" t="s">
        <v>11</v>
      </c>
      <c r="B30" s="257"/>
      <c r="C30" s="257"/>
      <c r="D30" s="257"/>
      <c r="E30" s="256"/>
    </row>
    <row r="31" spans="1:5" ht="28.5" customHeight="1">
      <c r="A31" s="260">
        <v>1</v>
      </c>
      <c r="B31" s="947" t="s">
        <v>248</v>
      </c>
      <c r="C31" s="947"/>
      <c r="D31" s="947"/>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1"/>
  <sheetViews>
    <sheetView view="pageBreakPreview" zoomScale="81" zoomScaleNormal="100" zoomScaleSheetLayoutView="81" workbookViewId="0"/>
  </sheetViews>
  <sheetFormatPr defaultColWidth="9.77734375" defaultRowHeight="14.25"/>
  <cols>
    <col min="1" max="1" width="4.21875" style="255" customWidth="1"/>
    <col min="2" max="2" width="5.6640625" style="255" customWidth="1"/>
    <col min="3" max="3" width="77.109375" style="255" customWidth="1"/>
    <col min="4" max="4" width="14" style="255" customWidth="1"/>
    <col min="5" max="5" width="2.6640625" style="256" customWidth="1"/>
    <col min="6" max="6" width="34.5546875" style="255" customWidth="1"/>
    <col min="7" max="16384" width="9.77734375" style="255"/>
  </cols>
  <sheetData>
    <row r="1" spans="1:10" ht="15">
      <c r="A1" s="259" t="str">
        <f>'Exhibit 1a'!A1</f>
        <v>VERSANT POWER – MAINE PUBLIC DISTRICT OATT</v>
      </c>
      <c r="B1" s="222"/>
      <c r="F1" s="196" t="s">
        <v>48</v>
      </c>
      <c r="G1" s="225"/>
    </row>
    <row r="2" spans="1:10" ht="15">
      <c r="A2" s="259" t="str">
        <f>'Exhibit 1a'!A2</f>
        <v>ATTACHMENT J FORMULA RATES</v>
      </c>
      <c r="B2" s="224"/>
      <c r="C2" s="224"/>
      <c r="F2" s="196" t="s">
        <v>572</v>
      </c>
      <c r="G2" s="224"/>
    </row>
    <row r="3" spans="1:10" ht="15">
      <c r="A3" s="259" t="str">
        <f>'Exhibit 1a'!A3</f>
        <v>RATE YEAR JUNE 1, 2020 TO MAY 31, 2021</v>
      </c>
      <c r="B3" s="222"/>
      <c r="C3" s="222"/>
      <c r="D3" s="222"/>
      <c r="E3" s="222"/>
      <c r="F3" s="222"/>
      <c r="G3" s="222"/>
      <c r="H3" s="222"/>
    </row>
    <row r="4" spans="1:10" s="256" customFormat="1" ht="15">
      <c r="A4" s="259" t="str">
        <f>'Exhibit 1a'!A4</f>
        <v>Actual ATRR &amp; CHARGES BASED ON ACTUAL CY 2020 VALUES</v>
      </c>
      <c r="B4" s="222"/>
      <c r="C4" s="222"/>
      <c r="D4" s="222"/>
      <c r="E4" s="222"/>
      <c r="F4" s="222"/>
      <c r="G4" s="222"/>
      <c r="H4" s="222"/>
    </row>
    <row r="5" spans="1:10" ht="15">
      <c r="A5" s="263"/>
      <c r="B5" s="234"/>
      <c r="C5" s="234"/>
      <c r="D5" s="263"/>
      <c r="E5" s="194"/>
      <c r="F5" s="116"/>
      <c r="G5" s="21"/>
    </row>
    <row r="6" spans="1:10" ht="15">
      <c r="A6" s="35" t="s">
        <v>274</v>
      </c>
      <c r="B6" s="183"/>
      <c r="C6" s="183"/>
      <c r="D6" s="193" t="s">
        <v>66</v>
      </c>
      <c r="E6" s="193"/>
      <c r="F6" s="32"/>
      <c r="G6" s="256"/>
    </row>
    <row r="7" spans="1:10" ht="15">
      <c r="A7" s="183"/>
      <c r="B7" s="183"/>
      <c r="C7" s="183"/>
      <c r="D7" s="232"/>
      <c r="E7" s="232"/>
      <c r="F7" s="21"/>
      <c r="G7" s="27"/>
    </row>
    <row r="8" spans="1:10" ht="15">
      <c r="A8" s="189" t="s">
        <v>14</v>
      </c>
      <c r="B8" s="189" t="s">
        <v>13</v>
      </c>
      <c r="C8" s="189"/>
      <c r="D8" s="188" t="s">
        <v>245</v>
      </c>
      <c r="E8" s="188"/>
      <c r="F8" s="167" t="s">
        <v>25</v>
      </c>
      <c r="G8" s="566"/>
    </row>
    <row r="9" spans="1:10" ht="15">
      <c r="A9" s="233"/>
      <c r="B9" s="233"/>
      <c r="C9" s="233"/>
      <c r="D9" s="232"/>
      <c r="E9" s="232"/>
      <c r="F9" s="231"/>
      <c r="G9" s="566"/>
    </row>
    <row r="10" spans="1:10">
      <c r="A10" s="21">
        <v>1</v>
      </c>
      <c r="B10" s="226" t="s">
        <v>611</v>
      </c>
      <c r="C10" s="14"/>
      <c r="D10" s="272">
        <v>782338.12</v>
      </c>
      <c r="E10" s="230"/>
      <c r="F10" s="258" t="s">
        <v>563</v>
      </c>
    </row>
    <row r="11" spans="1:10">
      <c r="A11" s="21">
        <v>2</v>
      </c>
      <c r="B11" s="14" t="s">
        <v>331</v>
      </c>
      <c r="C11" s="256"/>
      <c r="D11" s="795">
        <v>-204330.86</v>
      </c>
      <c r="E11" s="230"/>
      <c r="F11" s="258" t="s">
        <v>415</v>
      </c>
      <c r="G11" s="348"/>
    </row>
    <row r="12" spans="1:10">
      <c r="A12" s="21">
        <v>3</v>
      </c>
      <c r="B12" s="256" t="s">
        <v>273</v>
      </c>
      <c r="C12" s="256"/>
      <c r="D12" s="864">
        <f>-'Exhibit 1a'!G19</f>
        <v>-90000</v>
      </c>
      <c r="E12" s="230"/>
      <c r="F12" s="252" t="s">
        <v>688</v>
      </c>
      <c r="G12" s="256"/>
      <c r="H12" s="256"/>
      <c r="I12" s="256"/>
      <c r="J12" s="256"/>
    </row>
    <row r="13" spans="1:10" ht="15.75" thickBot="1">
      <c r="A13" s="21">
        <v>4</v>
      </c>
      <c r="B13" s="763" t="s">
        <v>1171</v>
      </c>
      <c r="C13" s="376"/>
      <c r="D13" s="865">
        <f>SUM(D10:D12)</f>
        <v>488007.26</v>
      </c>
      <c r="E13" s="229"/>
      <c r="F13" s="252" t="s">
        <v>382</v>
      </c>
      <c r="G13" s="256"/>
      <c r="H13" s="256"/>
      <c r="I13" s="256"/>
      <c r="J13" s="256"/>
    </row>
    <row r="14" spans="1:10" ht="15" thickTop="1">
      <c r="C14" s="256"/>
      <c r="D14" s="256"/>
      <c r="F14" s="252"/>
      <c r="G14" s="256"/>
      <c r="H14" s="256"/>
      <c r="I14" s="256"/>
      <c r="J14" s="256"/>
    </row>
    <row r="15" spans="1:10">
      <c r="A15" s="257" t="s">
        <v>11</v>
      </c>
      <c r="B15" s="257"/>
      <c r="C15" s="228"/>
      <c r="D15" s="257"/>
      <c r="E15" s="257"/>
      <c r="F15" s="227"/>
      <c r="G15" s="256"/>
      <c r="H15" s="256"/>
      <c r="I15" s="256"/>
      <c r="J15" s="256"/>
    </row>
    <row r="16" spans="1:10">
      <c r="A16" s="253">
        <v>1</v>
      </c>
      <c r="B16" s="226" t="s">
        <v>322</v>
      </c>
      <c r="C16" s="226"/>
      <c r="F16" s="226"/>
    </row>
    <row r="17" spans="1:6">
      <c r="A17" s="253"/>
      <c r="B17" s="256"/>
      <c r="C17" s="256"/>
      <c r="D17" s="256"/>
      <c r="F17" s="256"/>
    </row>
    <row r="18" spans="1:6">
      <c r="A18" s="256"/>
      <c r="B18" s="256"/>
      <c r="C18" s="256"/>
      <c r="F18" s="256"/>
    </row>
    <row r="19" spans="1:6">
      <c r="A19" s="256"/>
      <c r="B19" s="256"/>
      <c r="C19" s="256"/>
      <c r="F19" s="256"/>
    </row>
    <row r="20" spans="1:6">
      <c r="A20" s="256"/>
      <c r="B20" s="256"/>
      <c r="C20" s="256"/>
      <c r="F20" s="256"/>
    </row>
    <row r="21" spans="1:6">
      <c r="A21" s="256"/>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90"/>
  <sheetViews>
    <sheetView view="pageBreakPreview" zoomScale="81" zoomScaleNormal="85" zoomScaleSheetLayoutView="81" workbookViewId="0">
      <pane xSplit="3" ySplit="10" topLeftCell="D32" activePane="bottomRight" state="frozen"/>
      <selection pane="topRight"/>
      <selection pane="bottomLeft"/>
      <selection pane="bottomRight"/>
    </sheetView>
  </sheetViews>
  <sheetFormatPr defaultColWidth="8.77734375" defaultRowHeight="14.25"/>
  <cols>
    <col min="1" max="1" width="4.21875" style="222" customWidth="1"/>
    <col min="2" max="2" width="2.6640625" style="222" customWidth="1"/>
    <col min="3" max="3" width="62.77734375" style="451" customWidth="1"/>
    <col min="4" max="4" width="14.88671875" style="451" customWidth="1"/>
    <col min="5" max="5" width="12.77734375" style="451" bestFit="1" customWidth="1"/>
    <col min="6" max="6" width="14.21875" style="451" bestFit="1" customWidth="1"/>
    <col min="7" max="7" width="12.21875" style="222" customWidth="1"/>
    <col min="8" max="8" width="2.88671875" style="451" customWidth="1"/>
    <col min="9" max="9" width="14.77734375" style="451" customWidth="1"/>
    <col min="10" max="10" width="2.77734375" style="451" customWidth="1"/>
    <col min="11" max="11" width="30.77734375" style="222" bestFit="1" customWidth="1"/>
    <col min="12" max="13" width="13.77734375" style="222" customWidth="1"/>
    <col min="14" max="14" width="13" style="222" bestFit="1" customWidth="1"/>
    <col min="15" max="16" width="8.77734375" style="222"/>
    <col min="17" max="17" width="11.6640625" style="222" bestFit="1" customWidth="1"/>
    <col min="18" max="18" width="10.5546875" style="222" bestFit="1" customWidth="1"/>
    <col min="19" max="22" width="8.77734375" style="222"/>
    <col min="23" max="16384" width="8.77734375" style="451"/>
  </cols>
  <sheetData>
    <row r="1" spans="1:15" ht="15">
      <c r="A1" s="259" t="str">
        <f>'Exhibit 1a'!A1</f>
        <v>VERSANT POWER – MAINE PUBLIC DISTRICT OATT</v>
      </c>
      <c r="B1" s="427"/>
      <c r="D1" s="238"/>
      <c r="E1" s="238"/>
      <c r="F1" s="238"/>
      <c r="G1" s="97"/>
      <c r="H1" s="238"/>
      <c r="I1" s="238"/>
      <c r="J1" s="427"/>
      <c r="K1" s="93" t="s">
        <v>48</v>
      </c>
    </row>
    <row r="2" spans="1:15" ht="15">
      <c r="A2" s="259" t="str">
        <f>'Exhibit 1a'!A2</f>
        <v>ATTACHMENT J FORMULA RATES</v>
      </c>
      <c r="B2" s="427"/>
      <c r="C2" s="427"/>
      <c r="D2" s="238"/>
      <c r="E2" s="238"/>
      <c r="F2" s="238"/>
      <c r="G2" s="97"/>
      <c r="H2" s="238"/>
      <c r="I2" s="238"/>
      <c r="J2" s="427"/>
      <c r="K2" s="94" t="s">
        <v>731</v>
      </c>
    </row>
    <row r="3" spans="1:15" ht="15">
      <c r="A3" s="259" t="str">
        <f>'Exhibit 1a'!A3</f>
        <v>RATE YEAR JUNE 1, 2020 TO MAY 31, 2021</v>
      </c>
      <c r="B3" s="427"/>
      <c r="C3" s="427"/>
      <c r="D3" s="238"/>
      <c r="E3" s="238"/>
      <c r="F3" s="238"/>
      <c r="G3" s="97"/>
      <c r="H3" s="238"/>
      <c r="I3" s="238"/>
      <c r="J3" s="427"/>
    </row>
    <row r="4" spans="1:15" ht="15">
      <c r="A4" s="259" t="str">
        <f>'Exhibit 1a'!A4</f>
        <v>Actual ATRR &amp; CHARGES BASED ON ACTUAL CY 2020 VALUES</v>
      </c>
      <c r="B4" s="427"/>
      <c r="C4" s="427"/>
      <c r="D4" s="238"/>
      <c r="E4" s="238"/>
      <c r="F4" s="238"/>
      <c r="G4" s="97"/>
      <c r="H4" s="238"/>
      <c r="I4" s="238"/>
      <c r="J4" s="427"/>
    </row>
    <row r="5" spans="1:15" ht="15">
      <c r="A5" s="579"/>
      <c r="C5" s="222"/>
      <c r="D5" s="330"/>
      <c r="E5" s="330"/>
      <c r="F5" s="330"/>
      <c r="G5" s="97"/>
      <c r="H5" s="330"/>
      <c r="I5" s="330"/>
      <c r="J5" s="222"/>
    </row>
    <row r="6" spans="1:15" ht="15">
      <c r="A6" s="428" t="s">
        <v>417</v>
      </c>
      <c r="C6" s="222"/>
      <c r="D6" s="330"/>
      <c r="E6" s="330"/>
      <c r="F6" s="330"/>
      <c r="G6" s="97"/>
      <c r="H6" s="330"/>
      <c r="I6" s="330"/>
      <c r="J6" s="222"/>
    </row>
    <row r="7" spans="1:15">
      <c r="C7" s="222"/>
      <c r="D7" s="330"/>
      <c r="E7" s="330"/>
      <c r="F7" s="330"/>
      <c r="G7" s="97"/>
      <c r="H7" s="330"/>
      <c r="I7" s="330"/>
      <c r="J7" s="222"/>
    </row>
    <row r="8" spans="1:15">
      <c r="C8" s="222"/>
      <c r="D8" s="97" t="s">
        <v>66</v>
      </c>
      <c r="E8" s="97" t="s">
        <v>43</v>
      </c>
      <c r="F8" s="97" t="s">
        <v>418</v>
      </c>
      <c r="G8" s="97"/>
      <c r="H8" s="114"/>
      <c r="I8" s="97" t="s">
        <v>64</v>
      </c>
      <c r="J8" s="222"/>
    </row>
    <row r="9" spans="1:15">
      <c r="C9" s="222"/>
      <c r="D9" s="97"/>
      <c r="E9" s="97"/>
      <c r="F9" s="97"/>
      <c r="G9" s="97"/>
      <c r="H9" s="114"/>
      <c r="I9" s="97"/>
      <c r="J9" s="222"/>
    </row>
    <row r="10" spans="1:15">
      <c r="A10" s="429" t="s">
        <v>14</v>
      </c>
      <c r="B10" s="364" t="s">
        <v>13</v>
      </c>
      <c r="C10" s="364"/>
      <c r="D10" s="430" t="s">
        <v>419</v>
      </c>
      <c r="E10" s="430" t="s">
        <v>420</v>
      </c>
      <c r="F10" s="430" t="s">
        <v>245</v>
      </c>
      <c r="G10" s="430" t="s">
        <v>421</v>
      </c>
      <c r="H10" s="431"/>
      <c r="I10" s="430" t="s">
        <v>422</v>
      </c>
      <c r="J10" s="222"/>
      <c r="K10" s="430" t="s">
        <v>423</v>
      </c>
    </row>
    <row r="11" spans="1:15">
      <c r="A11" s="352"/>
      <c r="C11" s="222"/>
      <c r="D11" s="330"/>
      <c r="E11" s="330"/>
      <c r="F11" s="330"/>
      <c r="G11" s="97"/>
      <c r="H11" s="330"/>
      <c r="J11" s="222"/>
      <c r="L11" s="452"/>
      <c r="M11" s="452"/>
    </row>
    <row r="12" spans="1:15">
      <c r="A12" s="236">
        <v>1</v>
      </c>
      <c r="B12" s="432" t="s">
        <v>612</v>
      </c>
      <c r="C12" s="222"/>
      <c r="E12" s="304"/>
      <c r="F12" s="330"/>
      <c r="G12" s="97"/>
      <c r="H12" s="330"/>
      <c r="J12" s="222"/>
      <c r="L12" s="452"/>
      <c r="M12" s="452"/>
    </row>
    <row r="13" spans="1:15">
      <c r="A13" s="236">
        <v>2</v>
      </c>
      <c r="C13" s="222" t="s">
        <v>424</v>
      </c>
      <c r="D13" s="271">
        <v>1172671603.22</v>
      </c>
      <c r="E13" s="271">
        <v>239481401.44</v>
      </c>
      <c r="F13" s="359">
        <f>D13+E13</f>
        <v>1412153004.6600001</v>
      </c>
      <c r="G13" s="352" t="s">
        <v>435</v>
      </c>
      <c r="H13" s="330"/>
      <c r="I13" s="271">
        <v>1412153005</v>
      </c>
      <c r="J13" s="222"/>
      <c r="K13" s="222" t="s">
        <v>379</v>
      </c>
      <c r="L13" s="452"/>
      <c r="M13" s="452"/>
      <c r="N13" s="452"/>
      <c r="O13" s="304"/>
    </row>
    <row r="14" spans="1:15">
      <c r="A14" s="236">
        <v>3</v>
      </c>
      <c r="C14" s="222" t="s">
        <v>426</v>
      </c>
      <c r="D14" s="271">
        <v>566109466.0200001</v>
      </c>
      <c r="E14" s="271">
        <v>83697206.210000008</v>
      </c>
      <c r="F14" s="359">
        <f t="shared" ref="F14:F20" si="0">D14+E14</f>
        <v>649806672.23000014</v>
      </c>
      <c r="G14" s="104" t="s">
        <v>429</v>
      </c>
      <c r="H14" s="330"/>
      <c r="I14" s="271">
        <v>649806672</v>
      </c>
      <c r="J14" s="222"/>
      <c r="K14" s="222" t="s">
        <v>427</v>
      </c>
      <c r="L14" s="452"/>
      <c r="M14" s="452"/>
      <c r="N14" s="452"/>
      <c r="O14" s="304"/>
    </row>
    <row r="15" spans="1:15">
      <c r="A15" s="236">
        <v>4</v>
      </c>
      <c r="C15" s="222" t="s">
        <v>428</v>
      </c>
      <c r="D15" s="271">
        <v>0</v>
      </c>
      <c r="E15" s="271">
        <v>0</v>
      </c>
      <c r="F15" s="359">
        <f t="shared" si="0"/>
        <v>0</v>
      </c>
      <c r="G15" s="104" t="s">
        <v>429</v>
      </c>
      <c r="H15" s="330"/>
      <c r="I15" s="271">
        <v>0</v>
      </c>
      <c r="J15" s="222"/>
      <c r="K15" s="222" t="s">
        <v>430</v>
      </c>
      <c r="L15" s="452"/>
      <c r="M15" s="452"/>
      <c r="N15" s="452"/>
    </row>
    <row r="16" spans="1:15">
      <c r="A16" s="236">
        <v>5</v>
      </c>
      <c r="C16" s="222" t="s">
        <v>258</v>
      </c>
      <c r="D16" s="271">
        <v>104070778.06000002</v>
      </c>
      <c r="E16" s="271">
        <f>31472962</f>
        <v>31472962</v>
      </c>
      <c r="F16" s="764">
        <f t="shared" si="0"/>
        <v>135543740.06</v>
      </c>
      <c r="G16" s="104" t="s">
        <v>429</v>
      </c>
      <c r="H16" s="330"/>
      <c r="I16" s="271">
        <v>135543740</v>
      </c>
      <c r="J16" s="222"/>
      <c r="K16" s="222" t="s">
        <v>431</v>
      </c>
      <c r="L16" s="452"/>
      <c r="M16" s="452"/>
      <c r="N16" s="452"/>
    </row>
    <row r="17" spans="1:18">
      <c r="A17" s="236">
        <v>6</v>
      </c>
      <c r="C17" s="222" t="s">
        <v>6</v>
      </c>
      <c r="D17" s="271">
        <f>46542916.73+0.77</f>
        <v>46542917.5</v>
      </c>
      <c r="E17" s="271">
        <f>1152442</f>
        <v>1152442</v>
      </c>
      <c r="F17" s="764">
        <f t="shared" si="0"/>
        <v>47695359.5</v>
      </c>
      <c r="G17" s="104" t="s">
        <v>429</v>
      </c>
      <c r="H17" s="330"/>
      <c r="I17" s="271">
        <v>47695360</v>
      </c>
      <c r="J17" s="486"/>
      <c r="K17" s="222" t="s">
        <v>432</v>
      </c>
      <c r="L17" s="452"/>
      <c r="M17" s="452"/>
      <c r="N17" s="452"/>
    </row>
    <row r="18" spans="1:18">
      <c r="A18" s="236">
        <v>7</v>
      </c>
      <c r="C18" s="256" t="s">
        <v>661</v>
      </c>
      <c r="D18" s="271">
        <v>-127724718.64999999</v>
      </c>
      <c r="E18" s="271">
        <v>-16928082.079999998</v>
      </c>
      <c r="F18" s="764">
        <f t="shared" si="0"/>
        <v>-144652800.72999999</v>
      </c>
      <c r="G18" s="104" t="s">
        <v>429</v>
      </c>
      <c r="H18" s="330"/>
      <c r="I18" s="271">
        <v>144652801</v>
      </c>
      <c r="J18" s="486"/>
      <c r="K18" s="222" t="s">
        <v>585</v>
      </c>
      <c r="L18" s="452"/>
      <c r="M18" s="452"/>
      <c r="N18" s="452"/>
    </row>
    <row r="19" spans="1:18">
      <c r="A19" s="236">
        <v>8</v>
      </c>
      <c r="C19" s="256" t="s">
        <v>662</v>
      </c>
      <c r="D19" s="271">
        <v>-32062808.260041833</v>
      </c>
      <c r="E19" s="271">
        <v>-9137985.629999999</v>
      </c>
      <c r="F19" s="764">
        <f t="shared" si="0"/>
        <v>-41200793.890041828</v>
      </c>
      <c r="G19" s="104" t="s">
        <v>429</v>
      </c>
      <c r="H19" s="330"/>
      <c r="I19" s="271">
        <v>41212753</v>
      </c>
      <c r="J19" s="486"/>
      <c r="K19" s="222" t="s">
        <v>586</v>
      </c>
      <c r="L19" s="452"/>
      <c r="M19" s="452"/>
      <c r="N19" s="452"/>
    </row>
    <row r="20" spans="1:18">
      <c r="A20" s="236">
        <v>9</v>
      </c>
      <c r="C20" s="256" t="s">
        <v>663</v>
      </c>
      <c r="D20" s="271">
        <v>-17536427.849958163</v>
      </c>
      <c r="E20" s="271">
        <v>-460647.66000000061</v>
      </c>
      <c r="F20" s="359">
        <f t="shared" si="0"/>
        <v>-17997075.509958163</v>
      </c>
      <c r="G20" s="104" t="s">
        <v>429</v>
      </c>
      <c r="H20" s="330"/>
      <c r="I20" s="271">
        <v>17997076</v>
      </c>
      <c r="J20" s="486"/>
      <c r="K20" s="222" t="s">
        <v>664</v>
      </c>
      <c r="L20" s="452"/>
      <c r="M20" s="452"/>
      <c r="N20" s="452"/>
    </row>
    <row r="21" spans="1:18">
      <c r="A21" s="236">
        <v>10</v>
      </c>
      <c r="C21" s="222"/>
      <c r="E21" s="304"/>
      <c r="F21" s="304"/>
      <c r="G21" s="104"/>
      <c r="H21" s="330"/>
      <c r="I21" s="304"/>
      <c r="J21" s="486"/>
      <c r="L21" s="452"/>
      <c r="M21" s="452"/>
    </row>
    <row r="22" spans="1:18">
      <c r="A22" s="236">
        <v>11</v>
      </c>
      <c r="B22" s="432" t="s">
        <v>433</v>
      </c>
      <c r="C22" s="222"/>
      <c r="E22" s="304"/>
      <c r="F22" s="304"/>
      <c r="G22" s="104"/>
      <c r="H22" s="330"/>
      <c r="I22" s="304"/>
      <c r="J22" s="486"/>
      <c r="L22" s="452"/>
      <c r="M22" s="452"/>
    </row>
    <row r="23" spans="1:18">
      <c r="A23" s="236">
        <v>12</v>
      </c>
      <c r="C23" s="222" t="s">
        <v>434</v>
      </c>
      <c r="D23" s="271">
        <v>52883974</v>
      </c>
      <c r="E23" s="271">
        <v>8863722</v>
      </c>
      <c r="F23" s="359">
        <f>D23+E23</f>
        <v>61747696</v>
      </c>
      <c r="G23" s="104" t="s">
        <v>425</v>
      </c>
      <c r="H23" s="330"/>
      <c r="I23" s="352" t="s">
        <v>435</v>
      </c>
      <c r="J23" s="486"/>
      <c r="L23" s="452"/>
      <c r="M23" s="452"/>
      <c r="N23" s="255"/>
      <c r="O23" s="255"/>
      <c r="P23" s="255"/>
      <c r="Q23" s="255"/>
    </row>
    <row r="24" spans="1:18">
      <c r="A24" s="236">
        <v>13</v>
      </c>
      <c r="C24" s="433"/>
      <c r="D24" s="330"/>
      <c r="E24" s="330"/>
      <c r="F24" s="330"/>
      <c r="G24" s="97"/>
      <c r="H24" s="330"/>
      <c r="I24" s="330"/>
      <c r="J24" s="486"/>
      <c r="L24" s="452"/>
      <c r="M24" s="452"/>
      <c r="N24" s="255"/>
      <c r="O24" s="255"/>
      <c r="P24" s="255"/>
      <c r="Q24" s="255"/>
    </row>
    <row r="25" spans="1:18">
      <c r="A25" s="236">
        <v>14</v>
      </c>
      <c r="B25" s="138" t="s">
        <v>665</v>
      </c>
      <c r="C25" s="479"/>
      <c r="D25" s="330"/>
      <c r="E25" s="330"/>
      <c r="F25" s="330"/>
      <c r="G25" s="97"/>
      <c r="H25" s="330"/>
      <c r="I25" s="330"/>
      <c r="J25" s="486"/>
      <c r="L25" s="452"/>
      <c r="M25" s="452"/>
      <c r="N25" s="255"/>
      <c r="O25" s="255"/>
      <c r="P25" s="255"/>
      <c r="Q25" s="255"/>
    </row>
    <row r="26" spans="1:18">
      <c r="A26" s="236">
        <v>15</v>
      </c>
      <c r="B26" s="256"/>
      <c r="C26" s="80" t="s">
        <v>170</v>
      </c>
      <c r="D26" s="271">
        <v>13674877.450000003</v>
      </c>
      <c r="E26" s="271">
        <v>1675451.85</v>
      </c>
      <c r="F26" s="764">
        <f t="shared" ref="F26:F27" si="1">D26+E26</f>
        <v>15350329.300000003</v>
      </c>
      <c r="G26" s="104" t="s">
        <v>436</v>
      </c>
      <c r="H26" s="330"/>
      <c r="I26" s="271">
        <v>15350329</v>
      </c>
      <c r="J26" s="486"/>
      <c r="K26" s="258" t="s">
        <v>695</v>
      </c>
      <c r="L26" s="452"/>
      <c r="M26" s="452"/>
      <c r="N26" s="255"/>
      <c r="O26" s="255"/>
      <c r="P26" s="255"/>
      <c r="Q26" s="255"/>
    </row>
    <row r="27" spans="1:18">
      <c r="A27" s="236">
        <v>16</v>
      </c>
      <c r="B27" s="256"/>
      <c r="C27" s="80" t="s">
        <v>691</v>
      </c>
      <c r="D27" s="271">
        <v>5171122</v>
      </c>
      <c r="E27" s="271">
        <v>761114.77</v>
      </c>
      <c r="F27" s="764">
        <f t="shared" si="1"/>
        <v>5932236.7699999996</v>
      </c>
      <c r="G27" s="104" t="s">
        <v>436</v>
      </c>
      <c r="H27" s="330"/>
      <c r="I27" s="271">
        <v>5932237</v>
      </c>
      <c r="J27" s="486"/>
      <c r="K27" s="258" t="s">
        <v>696</v>
      </c>
      <c r="L27" s="452"/>
      <c r="M27" s="452"/>
      <c r="N27" s="255"/>
      <c r="O27" s="255"/>
      <c r="P27" s="255"/>
      <c r="Q27" s="255"/>
    </row>
    <row r="28" spans="1:18">
      <c r="A28" s="236">
        <v>17</v>
      </c>
      <c r="B28" s="256"/>
      <c r="C28" s="80" t="s">
        <v>666</v>
      </c>
      <c r="D28" s="271">
        <v>4415216</v>
      </c>
      <c r="E28" s="271">
        <f>242089</f>
        <v>242089</v>
      </c>
      <c r="F28" s="764">
        <f>D28+E28</f>
        <v>4657305</v>
      </c>
      <c r="G28" s="104" t="s">
        <v>436</v>
      </c>
      <c r="H28" s="330"/>
      <c r="I28" s="271">
        <v>4657305</v>
      </c>
      <c r="J28" s="486"/>
      <c r="K28" s="258" t="s">
        <v>697</v>
      </c>
      <c r="L28" s="452"/>
      <c r="M28" s="452"/>
      <c r="N28" s="255"/>
      <c r="O28" s="255"/>
      <c r="P28" s="255"/>
      <c r="Q28" s="255"/>
    </row>
    <row r="29" spans="1:18">
      <c r="A29" s="236">
        <v>18</v>
      </c>
      <c r="C29" s="433"/>
      <c r="D29" s="304"/>
      <c r="E29" s="304"/>
      <c r="F29" s="304"/>
      <c r="G29" s="104"/>
      <c r="H29" s="330"/>
      <c r="I29" s="304"/>
      <c r="J29" s="486"/>
      <c r="K29" s="434"/>
      <c r="L29" s="452"/>
      <c r="M29" s="452"/>
      <c r="N29" s="255"/>
      <c r="O29" s="255"/>
      <c r="P29" s="255"/>
      <c r="Q29" s="255"/>
    </row>
    <row r="30" spans="1:18">
      <c r="A30" s="236">
        <v>19</v>
      </c>
      <c r="B30" s="435" t="s">
        <v>437</v>
      </c>
      <c r="C30" s="433"/>
      <c r="D30" s="304"/>
      <c r="E30" s="304"/>
      <c r="F30" s="304"/>
      <c r="G30" s="104"/>
      <c r="H30" s="330"/>
      <c r="I30" s="304"/>
      <c r="J30" s="486"/>
      <c r="K30" s="434"/>
      <c r="L30" s="452"/>
      <c r="M30" s="452"/>
      <c r="N30" s="255"/>
      <c r="O30" s="255"/>
      <c r="P30" s="255"/>
      <c r="Q30" s="255"/>
    </row>
    <row r="31" spans="1:18">
      <c r="A31" s="236">
        <v>20</v>
      </c>
      <c r="B31" s="435"/>
      <c r="C31" s="436" t="s">
        <v>438</v>
      </c>
      <c r="D31" s="271">
        <v>36542.409271579723</v>
      </c>
      <c r="E31" s="271">
        <v>7934.5507284202686</v>
      </c>
      <c r="F31" s="464">
        <f t="shared" ref="F31" si="2">D31+E31</f>
        <v>44476.959999999992</v>
      </c>
      <c r="G31" s="104"/>
      <c r="H31" s="330"/>
      <c r="I31" s="271">
        <v>44477</v>
      </c>
      <c r="J31" s="486"/>
      <c r="K31" s="434" t="s">
        <v>439</v>
      </c>
      <c r="L31" s="452"/>
      <c r="M31" s="452"/>
      <c r="N31" s="255"/>
      <c r="O31" s="255"/>
      <c r="P31" s="255"/>
      <c r="Q31" s="255"/>
      <c r="R31" s="486"/>
    </row>
    <row r="32" spans="1:18">
      <c r="A32" s="236">
        <v>21</v>
      </c>
      <c r="B32" s="435"/>
      <c r="C32" s="436" t="s">
        <v>440</v>
      </c>
      <c r="D32" s="271">
        <v>1047345.7070335646</v>
      </c>
      <c r="E32" s="271">
        <v>578007</v>
      </c>
      <c r="F32" s="765">
        <f>D32+E32</f>
        <v>1625352.7070335646</v>
      </c>
      <c r="G32" s="104"/>
      <c r="H32" s="330"/>
      <c r="I32" s="271">
        <v>1625353</v>
      </c>
      <c r="J32" s="486"/>
      <c r="K32" s="434" t="s">
        <v>441</v>
      </c>
      <c r="L32" s="452"/>
      <c r="M32" s="452"/>
      <c r="N32" s="255"/>
      <c r="O32" s="255"/>
      <c r="P32" s="255"/>
      <c r="Q32" s="255"/>
      <c r="R32" s="486"/>
    </row>
    <row r="33" spans="1:18">
      <c r="A33" s="236">
        <v>22</v>
      </c>
      <c r="B33" s="435"/>
      <c r="C33" s="436" t="s">
        <v>442</v>
      </c>
      <c r="D33" s="271">
        <v>0</v>
      </c>
      <c r="E33" s="271">
        <v>0</v>
      </c>
      <c r="F33" s="765">
        <f t="shared" ref="F33:F54" si="3">D33+E33</f>
        <v>0</v>
      </c>
      <c r="G33" s="104"/>
      <c r="H33" s="330"/>
      <c r="I33" s="271">
        <v>0</v>
      </c>
      <c r="J33" s="486"/>
      <c r="K33" s="434" t="s">
        <v>443</v>
      </c>
      <c r="L33" s="452"/>
      <c r="M33" s="452"/>
      <c r="Q33" s="373"/>
      <c r="R33" s="486"/>
    </row>
    <row r="34" spans="1:18">
      <c r="A34" s="236">
        <v>23</v>
      </c>
      <c r="B34" s="435"/>
      <c r="C34" s="436" t="s">
        <v>444</v>
      </c>
      <c r="D34" s="271">
        <v>0</v>
      </c>
      <c r="E34" s="271">
        <v>0</v>
      </c>
      <c r="F34" s="765">
        <f t="shared" si="3"/>
        <v>0</v>
      </c>
      <c r="G34" s="104"/>
      <c r="H34" s="330"/>
      <c r="I34" s="271">
        <v>0</v>
      </c>
      <c r="J34" s="486"/>
      <c r="K34" s="434" t="s">
        <v>445</v>
      </c>
      <c r="L34" s="452"/>
      <c r="Q34" s="373"/>
      <c r="R34" s="486"/>
    </row>
    <row r="35" spans="1:18">
      <c r="A35" s="236">
        <v>24</v>
      </c>
      <c r="B35" s="435"/>
      <c r="C35" s="436" t="s">
        <v>446</v>
      </c>
      <c r="D35" s="271">
        <v>0</v>
      </c>
      <c r="E35" s="271">
        <v>204330.86</v>
      </c>
      <c r="F35" s="765">
        <f t="shared" si="3"/>
        <v>204330.86</v>
      </c>
      <c r="G35" s="465" t="s">
        <v>657</v>
      </c>
      <c r="H35" s="330"/>
      <c r="I35" s="271">
        <v>204331</v>
      </c>
      <c r="J35" s="486"/>
      <c r="K35" s="434" t="s">
        <v>447</v>
      </c>
      <c r="L35" s="452"/>
      <c r="M35" s="452"/>
      <c r="Q35" s="373"/>
      <c r="R35" s="486"/>
    </row>
    <row r="36" spans="1:18">
      <c r="A36" s="236">
        <v>25</v>
      </c>
      <c r="B36" s="435"/>
      <c r="C36" s="436" t="s">
        <v>448</v>
      </c>
      <c r="D36" s="271">
        <v>0</v>
      </c>
      <c r="E36" s="271">
        <v>0</v>
      </c>
      <c r="F36" s="764">
        <f t="shared" si="3"/>
        <v>0</v>
      </c>
      <c r="G36" s="104"/>
      <c r="H36" s="330"/>
      <c r="I36" s="271">
        <v>0</v>
      </c>
      <c r="J36" s="486"/>
      <c r="K36" s="434" t="s">
        <v>449</v>
      </c>
      <c r="L36" s="452"/>
      <c r="M36" s="452"/>
      <c r="Q36" s="373"/>
      <c r="R36" s="486"/>
    </row>
    <row r="37" spans="1:18">
      <c r="A37" s="236">
        <v>26</v>
      </c>
      <c r="B37" s="435"/>
      <c r="C37" s="436" t="s">
        <v>450</v>
      </c>
      <c r="D37" s="271">
        <v>0</v>
      </c>
      <c r="E37" s="271">
        <v>0</v>
      </c>
      <c r="F37" s="764">
        <f t="shared" si="3"/>
        <v>0</v>
      </c>
      <c r="G37" s="104"/>
      <c r="H37" s="330"/>
      <c r="I37" s="271">
        <v>0</v>
      </c>
      <c r="J37" s="486"/>
      <c r="K37" s="434" t="s">
        <v>451</v>
      </c>
      <c r="L37" s="452"/>
      <c r="M37" s="452"/>
      <c r="Q37" s="373"/>
      <c r="R37" s="486"/>
    </row>
    <row r="38" spans="1:18">
      <c r="A38" s="236">
        <v>27</v>
      </c>
      <c r="B38" s="435"/>
      <c r="C38" s="436" t="s">
        <v>452</v>
      </c>
      <c r="D38" s="271">
        <v>0</v>
      </c>
      <c r="E38" s="271">
        <v>0</v>
      </c>
      <c r="F38" s="764">
        <f t="shared" si="3"/>
        <v>0</v>
      </c>
      <c r="G38" s="104"/>
      <c r="H38" s="330"/>
      <c r="I38" s="271">
        <v>0</v>
      </c>
      <c r="J38" s="486"/>
      <c r="K38" s="434" t="s">
        <v>453</v>
      </c>
      <c r="L38" s="452"/>
      <c r="M38" s="452"/>
      <c r="Q38" s="373"/>
      <c r="R38" s="486"/>
    </row>
    <row r="39" spans="1:18">
      <c r="A39" s="236">
        <v>28</v>
      </c>
      <c r="B39" s="435"/>
      <c r="C39" s="436" t="s">
        <v>454</v>
      </c>
      <c r="D39" s="271">
        <v>0</v>
      </c>
      <c r="E39" s="271">
        <v>0</v>
      </c>
      <c r="F39" s="764">
        <f t="shared" si="3"/>
        <v>0</v>
      </c>
      <c r="G39" s="104"/>
      <c r="H39" s="330"/>
      <c r="I39" s="271">
        <v>0</v>
      </c>
      <c r="J39" s="486"/>
      <c r="K39" s="434" t="s">
        <v>455</v>
      </c>
      <c r="L39" s="452"/>
      <c r="M39" s="452"/>
      <c r="Q39" s="373"/>
      <c r="R39" s="486"/>
    </row>
    <row r="40" spans="1:18">
      <c r="A40" s="236">
        <v>29</v>
      </c>
      <c r="B40" s="435"/>
      <c r="C40" s="436" t="s">
        <v>456</v>
      </c>
      <c r="D40" s="271">
        <v>44016.984770189796</v>
      </c>
      <c r="E40" s="271">
        <v>9557.5252298101987</v>
      </c>
      <c r="F40" s="764">
        <f t="shared" si="3"/>
        <v>53574.509999999995</v>
      </c>
      <c r="G40" s="104"/>
      <c r="H40" s="330"/>
      <c r="I40" s="271">
        <v>53575</v>
      </c>
      <c r="J40" s="486"/>
      <c r="K40" s="434" t="s">
        <v>457</v>
      </c>
      <c r="L40" s="452"/>
      <c r="M40" s="452"/>
      <c r="Q40" s="373"/>
      <c r="R40" s="486"/>
    </row>
    <row r="41" spans="1:18">
      <c r="A41" s="236">
        <v>30</v>
      </c>
      <c r="B41" s="435"/>
      <c r="C41" s="436" t="s">
        <v>458</v>
      </c>
      <c r="D41" s="271">
        <v>387224.92080334492</v>
      </c>
      <c r="E41" s="271">
        <v>84079.179196655052</v>
      </c>
      <c r="F41" s="764">
        <f t="shared" si="3"/>
        <v>471304.1</v>
      </c>
      <c r="G41" s="104"/>
      <c r="H41" s="330"/>
      <c r="I41" s="271">
        <v>471304</v>
      </c>
      <c r="J41" s="486"/>
      <c r="K41" s="434" t="s">
        <v>459</v>
      </c>
      <c r="L41" s="452"/>
      <c r="M41" s="452"/>
      <c r="Q41" s="373"/>
      <c r="R41" s="486"/>
    </row>
    <row r="42" spans="1:18">
      <c r="A42" s="236">
        <v>31</v>
      </c>
      <c r="B42" s="435"/>
      <c r="C42" s="436" t="s">
        <v>460</v>
      </c>
      <c r="D42" s="271">
        <v>2076.2814700982676</v>
      </c>
      <c r="E42" s="271">
        <v>450.82852990173205</v>
      </c>
      <c r="F42" s="359">
        <f t="shared" si="3"/>
        <v>2527.1099999999997</v>
      </c>
      <c r="G42" s="104"/>
      <c r="H42" s="330"/>
      <c r="I42" s="271">
        <v>2527</v>
      </c>
      <c r="J42" s="486"/>
      <c r="K42" s="434" t="s">
        <v>461</v>
      </c>
      <c r="L42" s="452"/>
      <c r="M42" s="452"/>
      <c r="Q42" s="373"/>
      <c r="R42" s="486"/>
    </row>
    <row r="43" spans="1:18">
      <c r="A43" s="236">
        <v>32</v>
      </c>
      <c r="B43" s="435"/>
      <c r="C43" s="436" t="s">
        <v>462</v>
      </c>
      <c r="D43" s="271">
        <v>66648.379671582894</v>
      </c>
      <c r="E43" s="271">
        <v>14471.540328417104</v>
      </c>
      <c r="F43" s="359">
        <f t="shared" si="3"/>
        <v>81119.92</v>
      </c>
      <c r="G43" s="104"/>
      <c r="H43" s="330"/>
      <c r="I43" s="271">
        <v>81120</v>
      </c>
      <c r="J43" s="486"/>
      <c r="K43" s="434" t="s">
        <v>463</v>
      </c>
      <c r="L43" s="452"/>
      <c r="M43" s="452"/>
      <c r="Q43" s="373"/>
      <c r="R43" s="486"/>
    </row>
    <row r="44" spans="1:18">
      <c r="A44" s="236">
        <v>33</v>
      </c>
      <c r="B44" s="435"/>
      <c r="C44" s="436" t="s">
        <v>464</v>
      </c>
      <c r="D44" s="271">
        <v>0</v>
      </c>
      <c r="E44" s="271">
        <v>0</v>
      </c>
      <c r="F44" s="359">
        <f t="shared" si="3"/>
        <v>0</v>
      </c>
      <c r="G44" s="104"/>
      <c r="H44" s="330"/>
      <c r="I44" s="271">
        <v>0</v>
      </c>
      <c r="J44" s="486"/>
      <c r="K44" s="434" t="s">
        <v>465</v>
      </c>
      <c r="L44" s="452"/>
      <c r="M44" s="452"/>
      <c r="Q44" s="373"/>
      <c r="R44" s="486"/>
    </row>
    <row r="45" spans="1:18">
      <c r="A45" s="236">
        <v>34</v>
      </c>
      <c r="B45" s="435"/>
      <c r="C45" s="436" t="s">
        <v>466</v>
      </c>
      <c r="D45" s="271">
        <v>99245.828680279083</v>
      </c>
      <c r="E45" s="271">
        <v>21549.511319720914</v>
      </c>
      <c r="F45" s="359">
        <f t="shared" si="3"/>
        <v>120795.34</v>
      </c>
      <c r="G45" s="104"/>
      <c r="H45" s="330"/>
      <c r="I45" s="271">
        <v>120795</v>
      </c>
      <c r="J45" s="486"/>
      <c r="K45" s="434" t="s">
        <v>467</v>
      </c>
      <c r="L45" s="452"/>
      <c r="M45" s="452"/>
      <c r="Q45" s="373"/>
      <c r="R45" s="486"/>
    </row>
    <row r="46" spans="1:18">
      <c r="A46" s="236">
        <v>35</v>
      </c>
      <c r="B46" s="435"/>
      <c r="C46" s="436" t="s">
        <v>468</v>
      </c>
      <c r="D46" s="271">
        <v>13911.022586217861</v>
      </c>
      <c r="E46" s="271">
        <v>3020.5374137821364</v>
      </c>
      <c r="F46" s="359">
        <f t="shared" si="3"/>
        <v>16931.559999999998</v>
      </c>
      <c r="G46" s="104"/>
      <c r="H46" s="330"/>
      <c r="I46" s="271">
        <v>16932</v>
      </c>
      <c r="J46" s="486"/>
      <c r="K46" s="434" t="s">
        <v>469</v>
      </c>
      <c r="L46" s="452"/>
      <c r="M46" s="452"/>
      <c r="Q46" s="373"/>
      <c r="R46" s="486"/>
    </row>
    <row r="47" spans="1:18">
      <c r="A47" s="236">
        <v>36</v>
      </c>
      <c r="B47" s="435"/>
      <c r="C47" s="436" t="s">
        <v>470</v>
      </c>
      <c r="D47" s="271">
        <v>0</v>
      </c>
      <c r="E47" s="271">
        <v>0</v>
      </c>
      <c r="F47" s="359">
        <f t="shared" si="3"/>
        <v>0</v>
      </c>
      <c r="G47" s="104"/>
      <c r="H47" s="330"/>
      <c r="I47" s="271">
        <v>0</v>
      </c>
      <c r="J47" s="486"/>
      <c r="K47" s="434" t="s">
        <v>471</v>
      </c>
      <c r="L47" s="452"/>
      <c r="M47" s="452"/>
      <c r="Q47" s="373"/>
      <c r="R47" s="486"/>
    </row>
    <row r="48" spans="1:18">
      <c r="A48" s="236">
        <v>37</v>
      </c>
      <c r="B48" s="435"/>
      <c r="C48" s="436" t="s">
        <v>472</v>
      </c>
      <c r="D48" s="271">
        <v>0</v>
      </c>
      <c r="E48" s="271">
        <v>0</v>
      </c>
      <c r="F48" s="359">
        <f t="shared" si="3"/>
        <v>0</v>
      </c>
      <c r="G48" s="104"/>
      <c r="H48" s="330"/>
      <c r="I48" s="271">
        <v>0</v>
      </c>
      <c r="J48" s="486"/>
      <c r="K48" s="434" t="s">
        <v>473</v>
      </c>
      <c r="L48" s="452"/>
      <c r="M48" s="452"/>
      <c r="Q48" s="373"/>
      <c r="R48" s="486"/>
    </row>
    <row r="49" spans="1:18">
      <c r="A49" s="236">
        <v>38</v>
      </c>
      <c r="B49" s="435"/>
      <c r="C49" s="436" t="s">
        <v>474</v>
      </c>
      <c r="D49" s="271">
        <v>0</v>
      </c>
      <c r="E49" s="271">
        <v>0</v>
      </c>
      <c r="F49" s="359">
        <f t="shared" si="3"/>
        <v>0</v>
      </c>
      <c r="G49" s="104"/>
      <c r="H49" s="330"/>
      <c r="I49" s="271">
        <v>0</v>
      </c>
      <c r="J49" s="486"/>
      <c r="K49" s="434" t="s">
        <v>475</v>
      </c>
      <c r="L49" s="452"/>
      <c r="M49" s="452"/>
      <c r="Q49" s="373"/>
      <c r="R49" s="486"/>
    </row>
    <row r="50" spans="1:18">
      <c r="A50" s="236">
        <v>39</v>
      </c>
      <c r="B50" s="435"/>
      <c r="C50" s="436" t="s">
        <v>476</v>
      </c>
      <c r="D50" s="271">
        <v>0</v>
      </c>
      <c r="E50" s="271">
        <v>0</v>
      </c>
      <c r="F50" s="359">
        <f t="shared" si="3"/>
        <v>0</v>
      </c>
      <c r="G50" s="104"/>
      <c r="H50" s="330"/>
      <c r="I50" s="271">
        <v>0</v>
      </c>
      <c r="J50" s="486"/>
      <c r="K50" s="434" t="s">
        <v>477</v>
      </c>
      <c r="L50" s="452"/>
      <c r="M50" s="452"/>
      <c r="Q50" s="373"/>
      <c r="R50" s="486"/>
    </row>
    <row r="51" spans="1:18">
      <c r="A51" s="236">
        <v>40</v>
      </c>
      <c r="B51" s="435"/>
      <c r="C51" s="436" t="s">
        <v>478</v>
      </c>
      <c r="D51" s="271">
        <v>710085.38716267433</v>
      </c>
      <c r="E51" s="271">
        <v>154182.73283732554</v>
      </c>
      <c r="F51" s="764">
        <f t="shared" si="3"/>
        <v>864268.11999999988</v>
      </c>
      <c r="G51" s="104"/>
      <c r="H51" s="330"/>
      <c r="I51" s="271">
        <v>864268</v>
      </c>
      <c r="J51" s="486"/>
      <c r="K51" s="434" t="s">
        <v>479</v>
      </c>
      <c r="L51" s="452"/>
      <c r="M51" s="452"/>
      <c r="Q51" s="373"/>
      <c r="R51" s="486"/>
    </row>
    <row r="52" spans="1:18">
      <c r="A52" s="236">
        <v>41</v>
      </c>
      <c r="B52" s="435"/>
      <c r="C52" s="436" t="s">
        <v>480</v>
      </c>
      <c r="D52" s="271">
        <v>1709503.96</v>
      </c>
      <c r="E52" s="271">
        <v>597162.49</v>
      </c>
      <c r="F52" s="764">
        <f t="shared" si="3"/>
        <v>2306666.4500000002</v>
      </c>
      <c r="G52" s="104"/>
      <c r="H52" s="330"/>
      <c r="I52" s="271">
        <v>2306666</v>
      </c>
      <c r="J52" s="486"/>
      <c r="K52" s="434" t="s">
        <v>481</v>
      </c>
      <c r="L52" s="452"/>
      <c r="M52" s="452"/>
      <c r="Q52" s="373"/>
      <c r="R52" s="486"/>
    </row>
    <row r="53" spans="1:18">
      <c r="A53" s="236">
        <v>42</v>
      </c>
      <c r="B53" s="435"/>
      <c r="C53" s="436" t="s">
        <v>482</v>
      </c>
      <c r="D53" s="271">
        <v>38618.690741677994</v>
      </c>
      <c r="E53" s="271">
        <v>8385.3792583220056</v>
      </c>
      <c r="F53" s="764">
        <f t="shared" si="3"/>
        <v>47004.07</v>
      </c>
      <c r="G53" s="104"/>
      <c r="H53" s="330"/>
      <c r="I53" s="271">
        <v>47004</v>
      </c>
      <c r="J53" s="486"/>
      <c r="K53" s="434" t="s">
        <v>483</v>
      </c>
      <c r="L53" s="452"/>
      <c r="M53" s="452"/>
      <c r="Q53" s="373"/>
      <c r="R53" s="486"/>
    </row>
    <row r="54" spans="1:18">
      <c r="A54" s="236">
        <v>43</v>
      </c>
      <c r="B54" s="435"/>
      <c r="C54" s="436" t="s">
        <v>484</v>
      </c>
      <c r="D54" s="271">
        <v>155305.22297215136</v>
      </c>
      <c r="E54" s="271">
        <v>33721.83702784864</v>
      </c>
      <c r="F54" s="764">
        <f t="shared" si="3"/>
        <v>189027.06</v>
      </c>
      <c r="G54" s="104"/>
      <c r="H54" s="330"/>
      <c r="I54" s="271">
        <v>189027</v>
      </c>
      <c r="J54" s="486"/>
      <c r="K54" s="434" t="s">
        <v>485</v>
      </c>
      <c r="L54" s="452"/>
      <c r="M54" s="452"/>
      <c r="Q54" s="373"/>
      <c r="R54" s="486"/>
    </row>
    <row r="55" spans="1:18">
      <c r="A55" s="236">
        <v>44</v>
      </c>
      <c r="B55" s="435"/>
      <c r="C55" s="433" t="s">
        <v>245</v>
      </c>
      <c r="D55" s="505">
        <f>SUM(D31:D54)</f>
        <v>4310524.7951633604</v>
      </c>
      <c r="E55" s="505">
        <f>SUM(E31:E54)</f>
        <v>1716853.9718702035</v>
      </c>
      <c r="F55" s="503">
        <f>D55+E55</f>
        <v>6027378.7670335639</v>
      </c>
      <c r="G55" s="104" t="s">
        <v>436</v>
      </c>
      <c r="H55" s="330"/>
      <c r="I55" s="505">
        <f>SUM(I31:I54)</f>
        <v>6027379</v>
      </c>
      <c r="J55" s="486"/>
      <c r="K55" s="434"/>
      <c r="L55" s="452"/>
      <c r="M55" s="452"/>
      <c r="Q55" s="373"/>
      <c r="R55" s="486"/>
    </row>
    <row r="56" spans="1:18">
      <c r="A56" s="236">
        <v>45</v>
      </c>
      <c r="C56" s="222"/>
      <c r="J56" s="486"/>
      <c r="K56" s="434"/>
      <c r="L56" s="452"/>
      <c r="M56" s="452"/>
      <c r="N56" s="487"/>
    </row>
    <row r="57" spans="1:18">
      <c r="A57" s="236">
        <v>46</v>
      </c>
      <c r="B57" s="460" t="s">
        <v>619</v>
      </c>
      <c r="C57" s="256"/>
      <c r="D57" s="255"/>
      <c r="E57" s="255"/>
      <c r="F57" s="107"/>
      <c r="G57" s="256"/>
      <c r="H57" s="255"/>
      <c r="I57" s="255"/>
      <c r="J57" s="486"/>
      <c r="K57" s="256"/>
      <c r="L57" s="452"/>
      <c r="M57" s="452"/>
    </row>
    <row r="58" spans="1:18" s="222" customFormat="1">
      <c r="A58" s="236">
        <v>47</v>
      </c>
      <c r="B58" s="460"/>
      <c r="C58" s="57" t="s">
        <v>620</v>
      </c>
      <c r="D58" s="764">
        <v>-49056401.789999999</v>
      </c>
      <c r="E58" s="764">
        <f>'Exhibit 4'!P35</f>
        <v>-5272707.1500000004</v>
      </c>
      <c r="F58" s="359">
        <f>D58+E58</f>
        <v>-54329108.939999998</v>
      </c>
      <c r="G58" s="104" t="s">
        <v>429</v>
      </c>
      <c r="H58" s="304"/>
      <c r="I58" s="764">
        <v>-54329109</v>
      </c>
      <c r="J58" s="486"/>
      <c r="K58" s="57" t="s">
        <v>486</v>
      </c>
      <c r="L58" s="452"/>
      <c r="M58" s="452"/>
    </row>
    <row r="59" spans="1:18" s="222" customFormat="1">
      <c r="A59" s="236">
        <v>48</v>
      </c>
      <c r="B59" s="256"/>
      <c r="C59" s="256"/>
      <c r="D59" s="371"/>
      <c r="E59" s="256"/>
      <c r="F59" s="256"/>
      <c r="G59" s="256"/>
      <c r="H59" s="255"/>
      <c r="I59" s="255"/>
      <c r="J59" s="486"/>
      <c r="K59" s="256"/>
      <c r="L59" s="452"/>
      <c r="M59" s="452"/>
    </row>
    <row r="60" spans="1:18" s="222" customFormat="1">
      <c r="A60" s="236">
        <v>49</v>
      </c>
      <c r="B60" s="460" t="s">
        <v>614</v>
      </c>
      <c r="C60" s="57"/>
      <c r="D60" s="57"/>
      <c r="E60" s="463"/>
      <c r="F60" s="57"/>
      <c r="G60" s="104"/>
      <c r="H60" s="304"/>
      <c r="I60" s="304"/>
      <c r="J60" s="486"/>
      <c r="K60" s="57"/>
      <c r="L60" s="452"/>
      <c r="M60" s="452"/>
    </row>
    <row r="61" spans="1:18" s="222" customFormat="1">
      <c r="A61" s="236">
        <v>50</v>
      </c>
      <c r="B61" s="460"/>
      <c r="C61" s="57" t="s">
        <v>621</v>
      </c>
      <c r="D61" s="764">
        <v>0</v>
      </c>
      <c r="E61" s="764">
        <v>0</v>
      </c>
      <c r="F61" s="764">
        <f>SUM(D61:E61)</f>
        <v>0</v>
      </c>
      <c r="G61" s="104"/>
      <c r="H61" s="304"/>
      <c r="I61" s="304"/>
      <c r="J61" s="486"/>
      <c r="K61" s="57"/>
      <c r="L61" s="452"/>
      <c r="M61" s="452"/>
    </row>
    <row r="62" spans="1:18" s="222" customFormat="1">
      <c r="A62" s="236">
        <v>51</v>
      </c>
      <c r="B62" s="460"/>
      <c r="C62" s="57" t="s">
        <v>622</v>
      </c>
      <c r="D62" s="764">
        <f>-115634737.77</f>
        <v>-115634737.77</v>
      </c>
      <c r="E62" s="764">
        <v>0</v>
      </c>
      <c r="F62" s="764">
        <f>E62+D62</f>
        <v>-115634737.77</v>
      </c>
      <c r="G62" s="104"/>
      <c r="H62" s="304"/>
      <c r="I62" s="256"/>
      <c r="J62" s="486"/>
      <c r="K62" s="256"/>
      <c r="L62" s="452"/>
      <c r="M62" s="452"/>
    </row>
    <row r="63" spans="1:18" s="222" customFormat="1">
      <c r="A63" s="236">
        <v>52</v>
      </c>
      <c r="B63" s="460"/>
      <c r="C63" s="256" t="s">
        <v>245</v>
      </c>
      <c r="D63" s="877">
        <f>SUM(D61:D62)</f>
        <v>-115634737.77</v>
      </c>
      <c r="E63" s="877">
        <f>SUM(E61:E62)</f>
        <v>0</v>
      </c>
      <c r="F63" s="918">
        <f>D63+E63</f>
        <v>-115634737.77</v>
      </c>
      <c r="G63" s="104" t="s">
        <v>429</v>
      </c>
      <c r="H63" s="304"/>
      <c r="I63" s="764">
        <v>-115634738</v>
      </c>
      <c r="J63" s="486"/>
      <c r="K63" s="57" t="s">
        <v>623</v>
      </c>
      <c r="L63" s="452"/>
      <c r="M63" s="452"/>
    </row>
    <row r="64" spans="1:18" s="222" customFormat="1">
      <c r="A64" s="236">
        <v>53</v>
      </c>
      <c r="B64" s="460"/>
      <c r="C64" s="57"/>
      <c r="D64" s="304"/>
      <c r="E64" s="304"/>
      <c r="F64" s="304"/>
      <c r="G64" s="104"/>
      <c r="H64" s="304"/>
      <c r="I64" s="304"/>
      <c r="J64" s="486"/>
      <c r="K64" s="57"/>
      <c r="L64" s="452"/>
      <c r="M64" s="452"/>
    </row>
    <row r="65" spans="1:22" s="222" customFormat="1">
      <c r="A65" s="236">
        <v>54</v>
      </c>
      <c r="B65" s="432" t="s">
        <v>613</v>
      </c>
      <c r="C65" s="57"/>
      <c r="D65" s="304"/>
      <c r="E65" s="304"/>
      <c r="F65" s="304"/>
      <c r="G65" s="104"/>
      <c r="H65" s="304"/>
      <c r="I65" s="256"/>
      <c r="J65" s="486"/>
      <c r="K65" s="256"/>
      <c r="L65" s="452"/>
      <c r="M65" s="452"/>
    </row>
    <row r="66" spans="1:22">
      <c r="A66" s="236">
        <v>55</v>
      </c>
      <c r="B66" s="460"/>
      <c r="C66" s="57" t="s">
        <v>624</v>
      </c>
      <c r="D66" s="271">
        <v>33234034.039999999</v>
      </c>
      <c r="E66" s="271">
        <v>2588801.8799999994</v>
      </c>
      <c r="F66" s="271">
        <f>SUM(D66:E66)</f>
        <v>35822835.920000002</v>
      </c>
      <c r="G66" s="104"/>
      <c r="H66" s="304"/>
      <c r="I66" s="304"/>
      <c r="J66" s="486"/>
      <c r="K66" s="57"/>
      <c r="L66" s="452"/>
      <c r="M66" s="452"/>
    </row>
    <row r="67" spans="1:22" s="222" customFormat="1">
      <c r="A67" s="236">
        <v>56</v>
      </c>
      <c r="B67" s="460"/>
      <c r="C67" s="57" t="s">
        <v>625</v>
      </c>
      <c r="D67" s="271">
        <v>72799606.079999998</v>
      </c>
      <c r="E67" s="271">
        <v>0</v>
      </c>
      <c r="F67" s="271">
        <f>SUM(D67:E67)</f>
        <v>72799606.079999998</v>
      </c>
      <c r="G67" s="104"/>
      <c r="H67" s="304"/>
      <c r="I67" s="256"/>
      <c r="J67" s="486"/>
      <c r="K67" s="256"/>
      <c r="L67" s="452"/>
      <c r="M67" s="452"/>
    </row>
    <row r="68" spans="1:22" s="222" customFormat="1">
      <c r="A68" s="236">
        <v>57</v>
      </c>
      <c r="B68" s="460"/>
      <c r="C68" s="256" t="s">
        <v>245</v>
      </c>
      <c r="D68" s="461">
        <f>SUM(D66:D67)</f>
        <v>106033640.12</v>
      </c>
      <c r="E68" s="461">
        <f>SUM(E66:E67)</f>
        <v>2588801.8799999994</v>
      </c>
      <c r="F68" s="503">
        <f>D68+E68</f>
        <v>108622442</v>
      </c>
      <c r="G68" s="104" t="s">
        <v>429</v>
      </c>
      <c r="H68" s="304"/>
      <c r="I68" s="271">
        <v>108622442</v>
      </c>
      <c r="J68" s="486"/>
      <c r="K68" s="57" t="s">
        <v>626</v>
      </c>
      <c r="L68" s="452"/>
      <c r="M68" s="452"/>
    </row>
    <row r="69" spans="1:22">
      <c r="A69" s="236">
        <v>58</v>
      </c>
      <c r="C69" s="222"/>
      <c r="D69" s="222"/>
      <c r="E69" s="338"/>
      <c r="F69" s="222"/>
      <c r="G69" s="352"/>
      <c r="H69" s="222"/>
      <c r="I69" s="222"/>
      <c r="J69" s="486"/>
      <c r="L69" s="452"/>
      <c r="M69" s="452"/>
    </row>
    <row r="70" spans="1:22">
      <c r="A70" s="236">
        <v>59</v>
      </c>
      <c r="B70" s="432" t="s">
        <v>487</v>
      </c>
      <c r="C70" s="433"/>
      <c r="D70" s="304"/>
      <c r="E70" s="304"/>
      <c r="F70" s="304"/>
      <c r="G70" s="104"/>
      <c r="H70" s="330"/>
      <c r="I70" s="304"/>
      <c r="J70" s="486"/>
      <c r="K70" s="434"/>
      <c r="L70" s="452"/>
      <c r="M70" s="452"/>
    </row>
    <row r="71" spans="1:22">
      <c r="A71" s="236">
        <v>60</v>
      </c>
      <c r="C71" s="433" t="s">
        <v>488</v>
      </c>
      <c r="D71" s="271">
        <v>-5382.96</v>
      </c>
      <c r="E71" s="271">
        <v>0</v>
      </c>
      <c r="F71" s="359">
        <f t="shared" ref="F71" si="4">D71+E71</f>
        <v>-5382.96</v>
      </c>
      <c r="G71" s="104" t="s">
        <v>436</v>
      </c>
      <c r="H71" s="330"/>
      <c r="I71" s="271">
        <v>-5383</v>
      </c>
      <c r="J71" s="486"/>
      <c r="K71" s="434" t="s">
        <v>489</v>
      </c>
      <c r="L71" s="452"/>
      <c r="M71" s="452"/>
    </row>
    <row r="72" spans="1:22" s="222" customFormat="1">
      <c r="A72" s="236">
        <v>61</v>
      </c>
      <c r="C72" s="433"/>
      <c r="D72" s="304"/>
      <c r="E72" s="304"/>
      <c r="F72" s="304"/>
      <c r="G72" s="104"/>
      <c r="H72" s="330"/>
      <c r="I72" s="304"/>
      <c r="J72" s="486"/>
      <c r="K72" s="434"/>
      <c r="L72" s="452"/>
      <c r="M72" s="452"/>
    </row>
    <row r="73" spans="1:22" s="255" customFormat="1">
      <c r="A73" s="236">
        <v>62</v>
      </c>
      <c r="B73" s="256"/>
      <c r="C73" s="479" t="s">
        <v>490</v>
      </c>
      <c r="D73" s="923">
        <v>1970854</v>
      </c>
      <c r="E73" s="923">
        <v>386335</v>
      </c>
      <c r="F73" s="764">
        <f t="shared" ref="F73" si="5">D73+E73</f>
        <v>2357189</v>
      </c>
      <c r="G73" s="465" t="s">
        <v>436</v>
      </c>
      <c r="H73" s="371"/>
      <c r="I73" s="256"/>
      <c r="J73" s="486"/>
      <c r="K73" s="256"/>
      <c r="L73" s="490"/>
      <c r="M73" s="490"/>
      <c r="N73" s="491"/>
      <c r="O73" s="256"/>
      <c r="P73" s="256"/>
      <c r="Q73" s="256"/>
      <c r="R73" s="256"/>
      <c r="S73" s="256"/>
      <c r="T73" s="256"/>
      <c r="U73" s="256"/>
      <c r="V73" s="256"/>
    </row>
    <row r="74" spans="1:22" s="255" customFormat="1">
      <c r="A74" s="236">
        <v>63</v>
      </c>
      <c r="B74" s="256"/>
      <c r="C74" s="479" t="s">
        <v>649</v>
      </c>
      <c r="D74" s="463"/>
      <c r="E74" s="463"/>
      <c r="F74" s="766">
        <v>3119768</v>
      </c>
      <c r="G74" s="465"/>
      <c r="H74" s="371"/>
      <c r="I74" s="463"/>
      <c r="J74" s="486"/>
      <c r="K74" s="256"/>
      <c r="L74" s="490"/>
      <c r="M74" s="490"/>
      <c r="N74" s="491"/>
      <c r="O74" s="256"/>
      <c r="P74" s="256"/>
      <c r="Q74" s="256"/>
      <c r="R74" s="256"/>
      <c r="S74" s="256"/>
      <c r="T74" s="256"/>
      <c r="U74" s="256"/>
      <c r="V74" s="256"/>
    </row>
    <row r="75" spans="1:22" s="255" customFormat="1">
      <c r="A75" s="236">
        <v>64</v>
      </c>
      <c r="B75" s="256"/>
      <c r="C75" s="479"/>
      <c r="D75" s="463"/>
      <c r="E75" s="463"/>
      <c r="F75" s="764">
        <f>SUM(F73:F74)</f>
        <v>5476957</v>
      </c>
      <c r="G75" s="465"/>
      <c r="H75" s="371"/>
      <c r="I75" s="271">
        <v>5476957</v>
      </c>
      <c r="J75" s="486"/>
      <c r="K75" s="256" t="s">
        <v>650</v>
      </c>
      <c r="L75" s="490"/>
      <c r="M75" s="490"/>
      <c r="N75" s="491"/>
      <c r="O75" s="256"/>
      <c r="P75" s="256"/>
      <c r="Q75" s="256"/>
      <c r="R75" s="256"/>
      <c r="S75" s="256"/>
      <c r="T75" s="256"/>
      <c r="U75" s="256"/>
      <c r="V75" s="256"/>
    </row>
    <row r="76" spans="1:22">
      <c r="A76" s="236">
        <v>65</v>
      </c>
      <c r="C76" s="222"/>
      <c r="D76" s="222"/>
      <c r="E76" s="222"/>
      <c r="F76" s="222"/>
      <c r="G76" s="352"/>
      <c r="H76" s="222"/>
      <c r="I76" s="222"/>
      <c r="J76" s="486"/>
      <c r="L76" s="452"/>
      <c r="M76" s="452"/>
    </row>
    <row r="77" spans="1:22">
      <c r="A77" s="236">
        <v>66</v>
      </c>
      <c r="B77" s="432" t="s">
        <v>491</v>
      </c>
      <c r="C77" s="222"/>
      <c r="D77" s="222"/>
      <c r="E77" s="222"/>
      <c r="F77" s="222"/>
      <c r="G77" s="352"/>
      <c r="H77" s="222"/>
      <c r="I77" s="222"/>
      <c r="J77" s="486"/>
      <c r="L77" s="452"/>
      <c r="M77" s="452"/>
    </row>
    <row r="78" spans="1:22">
      <c r="A78" s="236">
        <v>67</v>
      </c>
      <c r="C78" s="222" t="s">
        <v>492</v>
      </c>
      <c r="D78" s="271"/>
      <c r="E78" s="271"/>
      <c r="F78" s="359">
        <f t="shared" ref="F78" si="6">D78+E78</f>
        <v>0</v>
      </c>
      <c r="G78" s="104" t="s">
        <v>436</v>
      </c>
      <c r="H78" s="222"/>
      <c r="I78" s="222"/>
      <c r="J78" s="486"/>
      <c r="K78" s="256"/>
      <c r="L78" s="452"/>
      <c r="M78" s="452"/>
    </row>
    <row r="79" spans="1:22">
      <c r="A79" s="236">
        <v>68</v>
      </c>
      <c r="C79" s="222" t="s">
        <v>493</v>
      </c>
      <c r="D79" s="304"/>
      <c r="E79" s="304"/>
      <c r="F79" s="764">
        <v>8537809</v>
      </c>
      <c r="G79" s="104"/>
      <c r="H79" s="222"/>
      <c r="I79" s="222"/>
      <c r="J79" s="486"/>
      <c r="K79" s="256"/>
      <c r="L79" s="452"/>
      <c r="M79" s="452"/>
    </row>
    <row r="80" spans="1:22">
      <c r="A80" s="236">
        <v>69</v>
      </c>
      <c r="C80" s="222" t="s">
        <v>245</v>
      </c>
      <c r="D80" s="304"/>
      <c r="E80" s="304"/>
      <c r="F80" s="437">
        <f>SUM(F78:F79)</f>
        <v>8537809</v>
      </c>
      <c r="G80" s="438"/>
      <c r="H80" s="222"/>
      <c r="I80" s="271">
        <v>8537809</v>
      </c>
      <c r="J80" s="486"/>
      <c r="K80" s="222" t="s">
        <v>494</v>
      </c>
      <c r="L80" s="452"/>
      <c r="M80" s="452"/>
    </row>
    <row r="81" spans="1:22">
      <c r="A81" s="236">
        <v>70</v>
      </c>
      <c r="C81" s="222"/>
      <c r="D81" s="222"/>
      <c r="E81" s="222"/>
      <c r="F81" s="222"/>
      <c r="G81" s="352"/>
      <c r="H81" s="222"/>
      <c r="I81" s="222"/>
      <c r="J81" s="486"/>
      <c r="L81" s="452"/>
      <c r="M81" s="452"/>
    </row>
    <row r="82" spans="1:22">
      <c r="A82" s="236">
        <v>71</v>
      </c>
      <c r="B82" s="432" t="s">
        <v>495</v>
      </c>
      <c r="C82" s="222"/>
      <c r="D82" s="330"/>
      <c r="E82" s="330"/>
      <c r="F82" s="330"/>
      <c r="G82" s="97"/>
      <c r="H82" s="330"/>
      <c r="I82" s="330"/>
      <c r="J82" s="486"/>
      <c r="L82" s="452"/>
      <c r="M82" s="452"/>
    </row>
    <row r="83" spans="1:22">
      <c r="A83" s="236">
        <v>72</v>
      </c>
      <c r="C83" s="222" t="s">
        <v>496</v>
      </c>
      <c r="D83" s="271"/>
      <c r="E83" s="271"/>
      <c r="F83" s="359">
        <f t="shared" ref="F83" si="7">D83+E83</f>
        <v>0</v>
      </c>
      <c r="G83" s="104" t="s">
        <v>436</v>
      </c>
      <c r="H83" s="222"/>
      <c r="I83" s="222"/>
      <c r="J83" s="486"/>
      <c r="L83" s="452"/>
      <c r="M83" s="452"/>
    </row>
    <row r="84" spans="1:22">
      <c r="A84" s="236">
        <v>73</v>
      </c>
      <c r="C84" s="222" t="s">
        <v>497</v>
      </c>
      <c r="D84" s="304"/>
      <c r="E84" s="304"/>
      <c r="F84" s="764">
        <v>2007142</v>
      </c>
      <c r="G84" s="104" t="s">
        <v>436</v>
      </c>
      <c r="H84" s="222"/>
      <c r="I84" s="222"/>
      <c r="J84" s="486"/>
      <c r="L84" s="452"/>
      <c r="M84" s="452"/>
    </row>
    <row r="85" spans="1:22">
      <c r="A85" s="236">
        <v>74</v>
      </c>
      <c r="C85" s="222" t="s">
        <v>245</v>
      </c>
      <c r="D85" s="222"/>
      <c r="E85" s="222"/>
      <c r="F85" s="437">
        <f>SUM(F83:F84)</f>
        <v>2007142</v>
      </c>
      <c r="G85" s="438"/>
      <c r="H85" s="222"/>
      <c r="I85" s="271">
        <v>2007142</v>
      </c>
      <c r="J85" s="486"/>
      <c r="K85" s="222" t="s">
        <v>498</v>
      </c>
      <c r="L85" s="452"/>
      <c r="M85" s="452"/>
    </row>
    <row r="86" spans="1:22">
      <c r="A86" s="236">
        <v>75</v>
      </c>
      <c r="C86" s="222"/>
      <c r="D86" s="222"/>
      <c r="E86" s="222"/>
      <c r="F86" s="338"/>
      <c r="G86" s="438"/>
      <c r="H86" s="222"/>
      <c r="I86" s="304"/>
      <c r="J86" s="486"/>
      <c r="L86" s="452"/>
      <c r="M86" s="452"/>
    </row>
    <row r="87" spans="1:22">
      <c r="A87" s="236">
        <v>76</v>
      </c>
      <c r="B87" s="432" t="s">
        <v>499</v>
      </c>
      <c r="C87" s="222"/>
      <c r="D87" s="330"/>
      <c r="E87" s="330"/>
      <c r="F87" s="330"/>
      <c r="G87" s="97"/>
      <c r="H87" s="330"/>
      <c r="I87" s="330"/>
      <c r="J87" s="486"/>
      <c r="L87" s="452"/>
      <c r="M87" s="452"/>
    </row>
    <row r="88" spans="1:22">
      <c r="A88" s="236">
        <v>77</v>
      </c>
      <c r="C88" s="436" t="s">
        <v>500</v>
      </c>
      <c r="D88" s="271">
        <v>217823</v>
      </c>
      <c r="E88" s="271">
        <v>-1551</v>
      </c>
      <c r="F88" s="359">
        <f t="shared" ref="F88:F89" si="8">D88+E88</f>
        <v>216272</v>
      </c>
      <c r="G88" s="104" t="s">
        <v>436</v>
      </c>
      <c r="H88" s="222"/>
      <c r="I88" s="222"/>
      <c r="J88" s="486"/>
      <c r="L88" s="452"/>
      <c r="M88" s="452"/>
    </row>
    <row r="89" spans="1:22">
      <c r="A89" s="236">
        <v>78</v>
      </c>
      <c r="C89" s="436" t="s">
        <v>501</v>
      </c>
      <c r="D89" s="271">
        <v>1235647.4313000001</v>
      </c>
      <c r="E89" s="271">
        <v>315617.03870000003</v>
      </c>
      <c r="F89" s="359">
        <f t="shared" si="8"/>
        <v>1551264.4700000002</v>
      </c>
      <c r="G89" s="104" t="s">
        <v>436</v>
      </c>
      <c r="H89" s="222"/>
      <c r="I89" s="222"/>
      <c r="J89" s="486"/>
      <c r="L89" s="452"/>
      <c r="M89" s="452"/>
    </row>
    <row r="90" spans="1:22">
      <c r="A90" s="236">
        <v>79</v>
      </c>
      <c r="C90" s="436" t="s">
        <v>502</v>
      </c>
      <c r="D90" s="764">
        <v>1652931.1009386114</v>
      </c>
      <c r="E90" s="764">
        <v>520421.89906138857</v>
      </c>
      <c r="F90" s="764">
        <f>D90+E90</f>
        <v>2173353</v>
      </c>
      <c r="G90" s="465" t="s">
        <v>638</v>
      </c>
      <c r="H90" s="222"/>
      <c r="I90" s="222"/>
      <c r="J90" s="486"/>
      <c r="L90" s="452"/>
      <c r="M90" s="452"/>
    </row>
    <row r="91" spans="1:22">
      <c r="A91" s="236">
        <v>80</v>
      </c>
      <c r="C91" s="222" t="s">
        <v>245</v>
      </c>
      <c r="D91" s="222"/>
      <c r="E91" s="222"/>
      <c r="F91" s="437">
        <f>SUM(F88:F90)</f>
        <v>3940889.47</v>
      </c>
      <c r="G91" s="438"/>
      <c r="H91" s="222"/>
      <c r="I91" s="271">
        <v>3940889</v>
      </c>
      <c r="J91" s="486"/>
      <c r="K91" s="222" t="s">
        <v>503</v>
      </c>
      <c r="L91" s="452"/>
      <c r="M91" s="452"/>
    </row>
    <row r="92" spans="1:22">
      <c r="A92" s="236">
        <v>81</v>
      </c>
      <c r="C92" s="222"/>
      <c r="D92" s="222"/>
      <c r="E92" s="222"/>
      <c r="F92" s="222"/>
      <c r="G92" s="352"/>
      <c r="H92" s="222"/>
      <c r="I92" s="222"/>
      <c r="J92" s="486"/>
      <c r="L92" s="452"/>
      <c r="M92" s="452"/>
    </row>
    <row r="93" spans="1:22" s="255" customFormat="1">
      <c r="A93" s="236">
        <v>82</v>
      </c>
      <c r="B93" s="135" t="s">
        <v>729</v>
      </c>
      <c r="C93" s="256"/>
      <c r="D93" s="256"/>
      <c r="E93" s="256"/>
      <c r="F93" s="256"/>
      <c r="G93" s="253"/>
      <c r="H93" s="256"/>
      <c r="I93" s="256"/>
      <c r="J93" s="486"/>
      <c r="K93" s="256"/>
      <c r="L93" s="490"/>
      <c r="M93" s="490"/>
      <c r="N93" s="256"/>
      <c r="O93" s="256"/>
      <c r="P93" s="256"/>
      <c r="Q93" s="256"/>
      <c r="R93" s="256"/>
      <c r="S93" s="256"/>
      <c r="T93" s="256"/>
      <c r="U93" s="256"/>
      <c r="V93" s="256"/>
    </row>
    <row r="94" spans="1:22" s="255" customFormat="1">
      <c r="A94" s="236">
        <v>83</v>
      </c>
      <c r="C94" s="462">
        <v>2020</v>
      </c>
      <c r="D94" s="463"/>
      <c r="E94" s="463"/>
      <c r="F94" s="464">
        <v>13489686</v>
      </c>
      <c r="G94" s="465"/>
      <c r="H94" s="256"/>
      <c r="I94" s="271">
        <v>13489686</v>
      </c>
      <c r="J94" s="486"/>
      <c r="K94" s="256" t="s">
        <v>636</v>
      </c>
      <c r="L94" s="490"/>
      <c r="M94" s="490"/>
      <c r="N94" s="256"/>
      <c r="O94" s="256"/>
      <c r="P94" s="256"/>
      <c r="Q94" s="256"/>
      <c r="R94" s="256"/>
      <c r="S94" s="256"/>
      <c r="T94" s="256"/>
      <c r="U94" s="256"/>
      <c r="V94" s="256"/>
    </row>
    <row r="95" spans="1:22" s="255" customFormat="1">
      <c r="A95" s="236">
        <v>84</v>
      </c>
      <c r="C95" s="462">
        <v>2019</v>
      </c>
      <c r="D95" s="463"/>
      <c r="E95" s="463"/>
      <c r="F95" s="464">
        <v>2399898</v>
      </c>
      <c r="G95" s="465"/>
      <c r="H95" s="256"/>
      <c r="I95" s="271">
        <v>2399898</v>
      </c>
      <c r="J95" s="486"/>
      <c r="K95" s="256" t="s">
        <v>636</v>
      </c>
      <c r="L95" s="490"/>
      <c r="M95" s="490"/>
      <c r="N95" s="256"/>
      <c r="O95" s="256"/>
      <c r="P95" s="256"/>
      <c r="Q95" s="256"/>
      <c r="R95" s="256"/>
      <c r="S95" s="256"/>
      <c r="T95" s="256"/>
      <c r="U95" s="256"/>
      <c r="V95" s="256"/>
    </row>
    <row r="96" spans="1:22" s="255" customFormat="1">
      <c r="A96" s="236">
        <v>85</v>
      </c>
      <c r="C96" s="252"/>
      <c r="F96" s="458">
        <f>SUM(F94:F95)</f>
        <v>15889584</v>
      </c>
      <c r="G96" s="465" t="s">
        <v>436</v>
      </c>
      <c r="H96" s="256"/>
      <c r="I96" s="256"/>
      <c r="J96" s="486"/>
      <c r="K96" s="256"/>
      <c r="L96" s="490"/>
      <c r="M96" s="490"/>
      <c r="N96" s="256"/>
      <c r="O96" s="256"/>
      <c r="P96" s="256"/>
      <c r="Q96" s="256"/>
      <c r="R96" s="256"/>
      <c r="S96" s="256"/>
      <c r="T96" s="256"/>
      <c r="U96" s="256"/>
      <c r="V96" s="256"/>
    </row>
    <row r="97" spans="1:22" s="255" customFormat="1">
      <c r="A97" s="236">
        <v>86</v>
      </c>
      <c r="B97" s="135" t="s">
        <v>75</v>
      </c>
      <c r="C97" s="256"/>
      <c r="G97" s="465"/>
      <c r="H97" s="256"/>
      <c r="I97" s="256"/>
      <c r="J97" s="486"/>
      <c r="K97" s="256"/>
      <c r="L97" s="490"/>
      <c r="M97" s="490"/>
      <c r="N97" s="256"/>
      <c r="O97" s="256"/>
      <c r="P97" s="256"/>
      <c r="Q97" s="256"/>
      <c r="R97" s="256"/>
      <c r="S97" s="256"/>
      <c r="T97" s="256"/>
      <c r="U97" s="256"/>
      <c r="V97" s="256"/>
    </row>
    <row r="98" spans="1:22" s="255" customFormat="1">
      <c r="A98" s="236">
        <v>87</v>
      </c>
      <c r="B98" s="256"/>
      <c r="C98" s="252" t="s">
        <v>806</v>
      </c>
      <c r="D98" s="463"/>
      <c r="E98" s="463"/>
      <c r="F98" s="464">
        <v>2959412</v>
      </c>
      <c r="G98" s="256"/>
      <c r="H98" s="256"/>
      <c r="I98" s="271">
        <v>2959412</v>
      </c>
      <c r="J98" s="486"/>
      <c r="K98" s="256" t="s">
        <v>636</v>
      </c>
      <c r="L98" s="490"/>
      <c r="M98" s="490"/>
      <c r="N98" s="256"/>
      <c r="O98" s="256"/>
      <c r="P98" s="256"/>
      <c r="Q98" s="256"/>
      <c r="R98" s="256"/>
      <c r="S98" s="256"/>
      <c r="T98" s="256"/>
      <c r="U98" s="256"/>
      <c r="V98" s="256"/>
    </row>
    <row r="99" spans="1:22" s="255" customFormat="1">
      <c r="A99" s="236">
        <v>88</v>
      </c>
      <c r="B99" s="256"/>
      <c r="C99" s="252" t="s">
        <v>807</v>
      </c>
      <c r="D99" s="256"/>
      <c r="E99" s="256"/>
      <c r="F99" s="464">
        <v>15809</v>
      </c>
      <c r="G99" s="253"/>
      <c r="H99" s="256"/>
      <c r="I99" s="271">
        <v>15809</v>
      </c>
      <c r="J99" s="486"/>
      <c r="K99" s="256" t="s">
        <v>636</v>
      </c>
      <c r="L99" s="490"/>
      <c r="M99" s="490"/>
      <c r="N99" s="256"/>
      <c r="O99" s="256"/>
      <c r="P99" s="256"/>
      <c r="Q99" s="256"/>
      <c r="R99" s="256"/>
      <c r="S99" s="256"/>
      <c r="T99" s="256"/>
      <c r="U99" s="256"/>
      <c r="V99" s="256"/>
    </row>
    <row r="100" spans="1:22" s="255" customFormat="1">
      <c r="A100" s="236">
        <v>89</v>
      </c>
      <c r="B100" s="256"/>
      <c r="C100" s="252" t="s">
        <v>808</v>
      </c>
      <c r="D100" s="256"/>
      <c r="E100" s="256"/>
      <c r="F100" s="464">
        <v>33012</v>
      </c>
      <c r="G100" s="253"/>
      <c r="H100" s="256"/>
      <c r="I100" s="271">
        <v>33012</v>
      </c>
      <c r="J100" s="486"/>
      <c r="K100" s="256" t="s">
        <v>636</v>
      </c>
      <c r="L100" s="490"/>
      <c r="M100" s="490"/>
      <c r="N100" s="256"/>
      <c r="O100" s="256"/>
      <c r="P100" s="256"/>
      <c r="Q100" s="256"/>
      <c r="R100" s="256"/>
      <c r="S100" s="256"/>
      <c r="T100" s="256"/>
      <c r="U100" s="256"/>
      <c r="V100" s="256"/>
    </row>
    <row r="101" spans="1:22" s="255" customFormat="1">
      <c r="A101" s="236">
        <v>90</v>
      </c>
      <c r="B101" s="256"/>
      <c r="C101" s="252"/>
      <c r="D101" s="256"/>
      <c r="E101" s="256"/>
      <c r="F101" s="458">
        <f>SUM(F98:F100)</f>
        <v>3008233</v>
      </c>
      <c r="G101" s="465" t="s">
        <v>436</v>
      </c>
      <c r="H101" s="256"/>
      <c r="I101" s="256"/>
      <c r="J101" s="486"/>
      <c r="K101" s="256"/>
      <c r="L101" s="490"/>
      <c r="M101" s="490"/>
      <c r="N101" s="256"/>
      <c r="O101" s="256"/>
      <c r="P101" s="256"/>
      <c r="Q101" s="256"/>
      <c r="R101" s="256"/>
      <c r="S101" s="256"/>
      <c r="T101" s="256"/>
      <c r="U101" s="256"/>
      <c r="V101" s="256"/>
    </row>
    <row r="102" spans="1:22" s="255" customFormat="1">
      <c r="A102" s="236">
        <v>91</v>
      </c>
      <c r="B102" s="256"/>
      <c r="C102" s="252"/>
      <c r="D102" s="256"/>
      <c r="E102" s="256"/>
      <c r="G102" s="465"/>
      <c r="H102" s="256"/>
      <c r="I102" s="256"/>
      <c r="J102" s="486"/>
      <c r="K102" s="256"/>
      <c r="L102" s="490"/>
      <c r="M102" s="490"/>
      <c r="N102" s="256"/>
      <c r="O102" s="256"/>
      <c r="P102" s="256"/>
      <c r="Q102" s="256"/>
      <c r="R102" s="256"/>
      <c r="S102" s="256"/>
      <c r="T102" s="256"/>
      <c r="U102" s="256"/>
      <c r="V102" s="256"/>
    </row>
    <row r="103" spans="1:22" s="255" customFormat="1">
      <c r="A103" s="236">
        <v>92</v>
      </c>
      <c r="B103" s="135" t="s">
        <v>637</v>
      </c>
      <c r="C103" s="256"/>
      <c r="D103" s="256"/>
      <c r="E103" s="256"/>
      <c r="F103" s="461">
        <f>F96+F101</f>
        <v>18897817</v>
      </c>
      <c r="G103" s="253" t="s">
        <v>638</v>
      </c>
      <c r="H103" s="256"/>
      <c r="I103" s="271">
        <v>18897817</v>
      </c>
      <c r="J103" s="486"/>
      <c r="K103" s="256" t="s">
        <v>639</v>
      </c>
      <c r="L103" s="490"/>
      <c r="M103" s="490"/>
      <c r="N103" s="256"/>
      <c r="O103" s="256"/>
      <c r="P103" s="256"/>
      <c r="Q103" s="256"/>
      <c r="R103" s="256"/>
      <c r="S103" s="256"/>
      <c r="T103" s="256"/>
      <c r="U103" s="256"/>
      <c r="V103" s="256"/>
    </row>
    <row r="104" spans="1:22">
      <c r="A104" s="236">
        <v>93</v>
      </c>
      <c r="C104" s="222"/>
      <c r="D104" s="222"/>
      <c r="E104" s="222"/>
      <c r="F104" s="222"/>
      <c r="G104" s="352"/>
      <c r="H104" s="222"/>
      <c r="I104" s="222"/>
      <c r="J104" s="486"/>
      <c r="L104" s="452"/>
      <c r="M104" s="452"/>
    </row>
    <row r="105" spans="1:22">
      <c r="A105" s="236">
        <v>94</v>
      </c>
      <c r="B105" s="135" t="s">
        <v>721</v>
      </c>
      <c r="C105" s="222"/>
      <c r="D105" s="429" t="s">
        <v>504</v>
      </c>
      <c r="E105" s="429" t="s">
        <v>505</v>
      </c>
      <c r="F105" s="429" t="s">
        <v>506</v>
      </c>
      <c r="G105" s="439"/>
      <c r="H105" s="222"/>
      <c r="I105" s="429" t="s">
        <v>587</v>
      </c>
      <c r="J105" s="486"/>
      <c r="K105" s="430" t="s">
        <v>423</v>
      </c>
      <c r="L105" s="452"/>
      <c r="M105" s="452"/>
    </row>
    <row r="106" spans="1:22">
      <c r="A106" s="236">
        <v>95</v>
      </c>
      <c r="C106" s="337" t="s">
        <v>809</v>
      </c>
      <c r="D106" s="375">
        <f>542735</f>
        <v>542735</v>
      </c>
      <c r="E106" s="374">
        <v>54338032</v>
      </c>
      <c r="F106" s="375">
        <v>92862</v>
      </c>
      <c r="G106" s="440"/>
      <c r="H106" s="222"/>
      <c r="I106" s="441" t="s">
        <v>810</v>
      </c>
      <c r="J106" s="486"/>
      <c r="K106" s="222" t="s">
        <v>507</v>
      </c>
      <c r="L106" s="452"/>
      <c r="M106" s="452"/>
    </row>
    <row r="107" spans="1:22">
      <c r="A107" s="236">
        <v>96</v>
      </c>
      <c r="C107" s="337" t="s">
        <v>811</v>
      </c>
      <c r="D107" s="375">
        <v>852</v>
      </c>
      <c r="E107" s="374">
        <v>85157</v>
      </c>
      <c r="F107" s="375">
        <v>227</v>
      </c>
      <c r="G107" s="440"/>
      <c r="H107" s="222"/>
      <c r="I107" s="441" t="s">
        <v>810</v>
      </c>
      <c r="J107" s="486"/>
      <c r="K107" s="222" t="s">
        <v>508</v>
      </c>
      <c r="L107" s="452"/>
      <c r="M107" s="452"/>
    </row>
    <row r="108" spans="1:22">
      <c r="A108" s="236">
        <v>97</v>
      </c>
      <c r="C108" s="337" t="s">
        <v>812</v>
      </c>
      <c r="D108" s="375">
        <v>1</v>
      </c>
      <c r="E108" s="374">
        <v>67</v>
      </c>
      <c r="F108" s="375">
        <v>0</v>
      </c>
      <c r="G108" s="440"/>
      <c r="H108" s="222"/>
      <c r="I108" s="441" t="s">
        <v>810</v>
      </c>
      <c r="J108" s="486"/>
      <c r="K108" s="222" t="s">
        <v>509</v>
      </c>
      <c r="L108" s="452"/>
      <c r="M108" s="452"/>
    </row>
    <row r="109" spans="1:22">
      <c r="A109" s="236">
        <v>98</v>
      </c>
      <c r="C109" s="337" t="s">
        <v>813</v>
      </c>
      <c r="D109" s="375">
        <v>141341</v>
      </c>
      <c r="E109" s="374">
        <v>14366399</v>
      </c>
      <c r="F109" s="375">
        <v>16354</v>
      </c>
      <c r="G109" s="440"/>
      <c r="H109" s="222"/>
      <c r="I109" s="441" t="s">
        <v>810</v>
      </c>
      <c r="J109" s="486"/>
      <c r="L109" s="452"/>
      <c r="M109" s="452"/>
    </row>
    <row r="110" spans="1:22">
      <c r="A110" s="236">
        <v>99</v>
      </c>
      <c r="C110" s="337" t="s">
        <v>814</v>
      </c>
      <c r="D110" s="375">
        <v>379</v>
      </c>
      <c r="E110" s="374">
        <v>45107</v>
      </c>
      <c r="F110" s="375">
        <v>82</v>
      </c>
      <c r="G110" s="440"/>
      <c r="H110" s="222"/>
      <c r="I110" s="441" t="s">
        <v>810</v>
      </c>
      <c r="J110" s="486"/>
      <c r="L110" s="452"/>
      <c r="M110" s="452"/>
    </row>
    <row r="111" spans="1:22">
      <c r="A111" s="236">
        <v>100</v>
      </c>
      <c r="C111" s="337" t="s">
        <v>815</v>
      </c>
      <c r="D111" s="375">
        <v>17</v>
      </c>
      <c r="E111" s="374">
        <v>1420</v>
      </c>
      <c r="F111" s="375">
        <v>5</v>
      </c>
      <c r="G111" s="440"/>
      <c r="H111" s="222"/>
      <c r="I111" s="441" t="s">
        <v>810</v>
      </c>
      <c r="J111" s="486"/>
      <c r="L111" s="452"/>
      <c r="M111" s="452"/>
    </row>
    <row r="112" spans="1:22">
      <c r="A112" s="236">
        <v>101</v>
      </c>
      <c r="C112" s="337" t="s">
        <v>816</v>
      </c>
      <c r="D112" s="375">
        <v>353340</v>
      </c>
      <c r="E112" s="374">
        <v>25420238</v>
      </c>
      <c r="F112" s="375">
        <v>1662</v>
      </c>
      <c r="G112" s="440"/>
      <c r="H112" s="222"/>
      <c r="I112" s="441" t="s">
        <v>810</v>
      </c>
      <c r="J112" s="486"/>
      <c r="L112" s="452"/>
      <c r="M112" s="452"/>
    </row>
    <row r="113" spans="1:13">
      <c r="A113" s="236">
        <v>102</v>
      </c>
      <c r="C113" s="337" t="s">
        <v>817</v>
      </c>
      <c r="D113" s="375">
        <v>5792</v>
      </c>
      <c r="E113" s="374">
        <v>522221</v>
      </c>
      <c r="F113" s="375">
        <v>488</v>
      </c>
      <c r="G113" s="440"/>
      <c r="H113" s="222"/>
      <c r="I113" s="441" t="s">
        <v>810</v>
      </c>
      <c r="J113" s="486"/>
      <c r="L113" s="452"/>
      <c r="M113" s="452"/>
    </row>
    <row r="114" spans="1:13">
      <c r="A114" s="236">
        <v>103</v>
      </c>
      <c r="C114" s="337" t="s">
        <v>818</v>
      </c>
      <c r="D114" s="375">
        <v>115624</v>
      </c>
      <c r="E114" s="374">
        <v>5578402</v>
      </c>
      <c r="F114" s="375">
        <v>24</v>
      </c>
      <c r="G114" s="440"/>
      <c r="H114" s="222"/>
      <c r="I114" s="441" t="s">
        <v>810</v>
      </c>
      <c r="J114" s="486"/>
      <c r="L114" s="452"/>
      <c r="M114" s="452"/>
    </row>
    <row r="115" spans="1:13">
      <c r="A115" s="236">
        <v>104</v>
      </c>
      <c r="C115" s="337" t="s">
        <v>819</v>
      </c>
      <c r="D115" s="375">
        <v>42737</v>
      </c>
      <c r="E115" s="374">
        <v>2604646</v>
      </c>
      <c r="F115" s="375">
        <v>101</v>
      </c>
      <c r="G115" s="440"/>
      <c r="H115" s="222"/>
      <c r="I115" s="441" t="s">
        <v>810</v>
      </c>
      <c r="J115" s="486"/>
      <c r="L115" s="452"/>
      <c r="M115" s="452"/>
    </row>
    <row r="116" spans="1:13">
      <c r="A116" s="236">
        <v>105</v>
      </c>
      <c r="C116" s="337" t="s">
        <v>820</v>
      </c>
      <c r="D116" s="375">
        <v>5523</v>
      </c>
      <c r="E116" s="374">
        <v>1514074</v>
      </c>
      <c r="F116" s="375">
        <v>4797</v>
      </c>
      <c r="G116" s="440"/>
      <c r="H116" s="222"/>
      <c r="I116" s="441" t="s">
        <v>810</v>
      </c>
      <c r="J116" s="486"/>
      <c r="L116" s="452"/>
      <c r="M116" s="452"/>
    </row>
    <row r="117" spans="1:13">
      <c r="A117" s="236">
        <v>106</v>
      </c>
      <c r="C117" s="337" t="s">
        <v>821</v>
      </c>
      <c r="D117" s="375">
        <v>1331</v>
      </c>
      <c r="E117" s="374">
        <v>97691</v>
      </c>
      <c r="F117" s="375">
        <v>34</v>
      </c>
      <c r="G117" s="440"/>
      <c r="H117" s="222"/>
      <c r="I117" s="441" t="s">
        <v>810</v>
      </c>
      <c r="J117" s="486"/>
      <c r="L117" s="452"/>
      <c r="M117" s="452"/>
    </row>
    <row r="118" spans="1:13">
      <c r="A118" s="236">
        <v>107</v>
      </c>
      <c r="C118" s="337" t="s">
        <v>822</v>
      </c>
      <c r="D118" s="375">
        <v>142</v>
      </c>
      <c r="E118" s="374">
        <v>7090</v>
      </c>
      <c r="F118" s="375">
        <v>1</v>
      </c>
      <c r="G118" s="440"/>
      <c r="H118" s="222"/>
      <c r="I118" s="441" t="s">
        <v>810</v>
      </c>
      <c r="J118" s="486"/>
      <c r="L118" s="452"/>
      <c r="M118" s="452"/>
    </row>
    <row r="119" spans="1:13">
      <c r="A119" s="236">
        <v>108</v>
      </c>
      <c r="C119" s="337" t="s">
        <v>823</v>
      </c>
      <c r="D119" s="375" t="s">
        <v>1188</v>
      </c>
      <c r="E119" s="374">
        <v>0</v>
      </c>
      <c r="F119" s="375" t="s">
        <v>1189</v>
      </c>
      <c r="G119" s="440"/>
      <c r="H119" s="222"/>
      <c r="I119" s="441" t="s">
        <v>810</v>
      </c>
      <c r="J119" s="486"/>
      <c r="L119" s="452"/>
      <c r="M119" s="452"/>
    </row>
    <row r="120" spans="1:13">
      <c r="A120" s="236">
        <v>109</v>
      </c>
      <c r="C120" s="337" t="s">
        <v>824</v>
      </c>
      <c r="D120" s="375" t="s">
        <v>1188</v>
      </c>
      <c r="E120" s="374">
        <v>0</v>
      </c>
      <c r="F120" s="375" t="s">
        <v>1189</v>
      </c>
      <c r="G120" s="440"/>
      <c r="H120" s="222"/>
      <c r="I120" s="441" t="s">
        <v>810</v>
      </c>
      <c r="J120" s="486"/>
      <c r="L120" s="452"/>
      <c r="M120" s="452"/>
    </row>
    <row r="121" spans="1:13">
      <c r="A121" s="236">
        <v>110</v>
      </c>
      <c r="C121" s="337" t="s">
        <v>825</v>
      </c>
      <c r="D121" s="375">
        <v>159</v>
      </c>
      <c r="E121" s="374">
        <v>9474</v>
      </c>
      <c r="F121" s="375">
        <v>11</v>
      </c>
      <c r="G121" s="440"/>
      <c r="H121" s="222"/>
      <c r="I121" s="441" t="s">
        <v>810</v>
      </c>
      <c r="J121" s="486"/>
      <c r="L121" s="452"/>
      <c r="M121" s="452"/>
    </row>
    <row r="122" spans="1:13">
      <c r="A122" s="236">
        <v>111</v>
      </c>
      <c r="C122" s="337" t="s">
        <v>826</v>
      </c>
      <c r="D122" s="375">
        <v>55369</v>
      </c>
      <c r="E122" s="374">
        <v>5042109</v>
      </c>
      <c r="F122" s="375">
        <v>6611</v>
      </c>
      <c r="G122" s="440"/>
      <c r="H122" s="222"/>
      <c r="I122" s="441" t="s">
        <v>810</v>
      </c>
      <c r="J122" s="486"/>
      <c r="L122" s="452"/>
      <c r="M122" s="452"/>
    </row>
    <row r="123" spans="1:13">
      <c r="A123" s="236">
        <v>112</v>
      </c>
      <c r="C123" s="337" t="s">
        <v>827</v>
      </c>
      <c r="D123" s="375">
        <v>12100</v>
      </c>
      <c r="E123" s="374">
        <v>1073410</v>
      </c>
      <c r="F123" s="375">
        <v>749</v>
      </c>
      <c r="G123" s="440"/>
      <c r="H123" s="222"/>
      <c r="I123" s="441" t="s">
        <v>810</v>
      </c>
      <c r="J123" s="486"/>
      <c r="L123" s="452"/>
      <c r="M123" s="452"/>
    </row>
    <row r="124" spans="1:13">
      <c r="A124" s="236">
        <v>113</v>
      </c>
      <c r="C124" s="337" t="s">
        <v>828</v>
      </c>
      <c r="D124" s="375">
        <v>222</v>
      </c>
      <c r="E124" s="374">
        <v>16105</v>
      </c>
      <c r="F124" s="375">
        <v>20</v>
      </c>
      <c r="G124" s="440"/>
      <c r="H124" s="222"/>
      <c r="I124" s="441" t="s">
        <v>810</v>
      </c>
      <c r="J124" s="486"/>
      <c r="L124" s="452"/>
      <c r="M124" s="452"/>
    </row>
    <row r="125" spans="1:13">
      <c r="A125" s="236">
        <v>114</v>
      </c>
      <c r="C125" s="337" t="s">
        <v>829</v>
      </c>
      <c r="D125" s="375">
        <v>55683</v>
      </c>
      <c r="E125" s="374">
        <v>5102146</v>
      </c>
      <c r="F125" s="375">
        <v>5831</v>
      </c>
      <c r="G125" s="440"/>
      <c r="H125" s="222"/>
      <c r="I125" s="441" t="s">
        <v>810</v>
      </c>
      <c r="J125" s="486"/>
      <c r="L125" s="452"/>
      <c r="M125" s="452"/>
    </row>
    <row r="126" spans="1:13">
      <c r="A126" s="236">
        <v>115</v>
      </c>
      <c r="C126" s="337" t="s">
        <v>830</v>
      </c>
      <c r="D126" s="889" t="s">
        <v>1188</v>
      </c>
      <c r="E126" s="366">
        <v>0</v>
      </c>
      <c r="F126" s="889" t="s">
        <v>1189</v>
      </c>
      <c r="G126" s="440"/>
      <c r="H126" s="222"/>
      <c r="I126" s="441" t="s">
        <v>810</v>
      </c>
      <c r="J126" s="486"/>
      <c r="L126" s="452"/>
      <c r="M126" s="452"/>
    </row>
    <row r="127" spans="1:13">
      <c r="A127" s="236">
        <v>116</v>
      </c>
      <c r="C127" s="337" t="s">
        <v>831</v>
      </c>
      <c r="D127" s="534">
        <v>123897</v>
      </c>
      <c r="E127" s="535">
        <v>4679372</v>
      </c>
      <c r="F127" s="534">
        <v>29</v>
      </c>
      <c r="G127" s="440"/>
      <c r="H127" s="222"/>
      <c r="I127" s="441" t="s">
        <v>810</v>
      </c>
      <c r="J127" s="486"/>
      <c r="L127" s="452"/>
      <c r="M127" s="452"/>
    </row>
    <row r="128" spans="1:13">
      <c r="A128" s="236">
        <v>117</v>
      </c>
      <c r="C128" s="536" t="s">
        <v>832</v>
      </c>
      <c r="D128" s="375">
        <f>SUM(D106:D127)</f>
        <v>1457244</v>
      </c>
      <c r="E128" s="374">
        <f>SUM(E106:E127)</f>
        <v>120503160</v>
      </c>
      <c r="F128" s="375">
        <f>SUM(F106:F127)</f>
        <v>129888</v>
      </c>
      <c r="G128" s="440"/>
      <c r="H128" s="222"/>
      <c r="I128" s="441"/>
      <c r="J128" s="486"/>
      <c r="L128" s="452"/>
      <c r="M128" s="452"/>
    </row>
    <row r="129" spans="1:13">
      <c r="A129" s="236">
        <v>118</v>
      </c>
      <c r="C129" s="337"/>
      <c r="D129" s="375"/>
      <c r="E129" s="374"/>
      <c r="F129" s="375"/>
      <c r="G129" s="440"/>
      <c r="H129" s="222"/>
      <c r="I129" s="441"/>
      <c r="J129" s="486"/>
      <c r="L129" s="452"/>
      <c r="M129" s="452"/>
    </row>
    <row r="130" spans="1:13">
      <c r="A130" s="236">
        <v>119</v>
      </c>
      <c r="C130" s="759" t="s">
        <v>833</v>
      </c>
      <c r="D130" s="375">
        <v>151798</v>
      </c>
      <c r="E130" s="374">
        <v>12086022</v>
      </c>
      <c r="F130" s="375">
        <v>24342</v>
      </c>
      <c r="G130" s="440"/>
      <c r="H130" s="222"/>
      <c r="I130" s="441" t="s">
        <v>128</v>
      </c>
      <c r="J130" s="486"/>
      <c r="L130" s="452"/>
      <c r="M130" s="452"/>
    </row>
    <row r="131" spans="1:13">
      <c r="A131" s="236">
        <v>120</v>
      </c>
      <c r="C131" s="759" t="s">
        <v>834</v>
      </c>
      <c r="D131" s="375" t="s">
        <v>1188</v>
      </c>
      <c r="E131" s="374">
        <v>0</v>
      </c>
      <c r="F131" s="375" t="s">
        <v>1189</v>
      </c>
      <c r="G131" s="440"/>
      <c r="H131" s="222"/>
      <c r="I131" s="441" t="s">
        <v>128</v>
      </c>
      <c r="J131" s="486"/>
      <c r="L131" s="452"/>
      <c r="M131" s="452"/>
    </row>
    <row r="132" spans="1:13">
      <c r="A132" s="236">
        <v>121</v>
      </c>
      <c r="C132" s="759" t="s">
        <v>835</v>
      </c>
      <c r="D132" s="375">
        <v>10352</v>
      </c>
      <c r="E132" s="374">
        <v>707246</v>
      </c>
      <c r="F132" s="375">
        <v>1259</v>
      </c>
      <c r="G132" s="440"/>
      <c r="H132" s="222"/>
      <c r="I132" s="441" t="s">
        <v>128</v>
      </c>
      <c r="J132" s="486"/>
      <c r="L132" s="452"/>
      <c r="M132" s="452"/>
    </row>
    <row r="133" spans="1:13">
      <c r="A133" s="236">
        <v>122</v>
      </c>
      <c r="C133" s="759" t="s">
        <v>836</v>
      </c>
      <c r="D133" s="375">
        <v>32106</v>
      </c>
      <c r="E133" s="374">
        <v>2206517</v>
      </c>
      <c r="F133" s="375">
        <v>3161</v>
      </c>
      <c r="G133" s="440"/>
      <c r="H133" s="222"/>
      <c r="I133" s="441" t="s">
        <v>128</v>
      </c>
      <c r="J133" s="486"/>
      <c r="L133" s="452"/>
      <c r="M133" s="452"/>
    </row>
    <row r="134" spans="1:13">
      <c r="A134" s="236">
        <v>123</v>
      </c>
      <c r="C134" s="759" t="s">
        <v>837</v>
      </c>
      <c r="D134" s="375">
        <v>86174</v>
      </c>
      <c r="E134" s="374">
        <v>6666622</v>
      </c>
      <c r="F134" s="375">
        <v>6781</v>
      </c>
      <c r="G134" s="440"/>
      <c r="H134" s="222"/>
      <c r="I134" s="441" t="s">
        <v>128</v>
      </c>
      <c r="J134" s="486"/>
      <c r="L134" s="452"/>
      <c r="M134" s="452"/>
    </row>
    <row r="135" spans="1:13">
      <c r="A135" s="236">
        <v>124</v>
      </c>
      <c r="C135" s="759" t="s">
        <v>838</v>
      </c>
      <c r="D135" s="375">
        <v>45</v>
      </c>
      <c r="E135" s="374">
        <v>4769</v>
      </c>
      <c r="F135" s="375">
        <v>11</v>
      </c>
      <c r="G135" s="440"/>
      <c r="H135" s="222"/>
      <c r="I135" s="441" t="s">
        <v>128</v>
      </c>
      <c r="J135" s="486"/>
      <c r="L135" s="452"/>
      <c r="M135" s="452"/>
    </row>
    <row r="136" spans="1:13">
      <c r="A136" s="236">
        <v>125</v>
      </c>
      <c r="C136" s="759" t="s">
        <v>839</v>
      </c>
      <c r="D136" s="375">
        <v>1795</v>
      </c>
      <c r="E136" s="374">
        <v>87087</v>
      </c>
      <c r="F136" s="375">
        <v>19</v>
      </c>
      <c r="G136" s="440"/>
      <c r="H136" s="222"/>
      <c r="I136" s="441" t="s">
        <v>128</v>
      </c>
      <c r="J136" s="486"/>
      <c r="L136" s="452"/>
      <c r="M136" s="452"/>
    </row>
    <row r="137" spans="1:13">
      <c r="A137" s="236">
        <v>126</v>
      </c>
      <c r="C137" s="759" t="s">
        <v>840</v>
      </c>
      <c r="D137" s="375">
        <v>11268</v>
      </c>
      <c r="E137" s="374">
        <v>479798</v>
      </c>
      <c r="F137" s="375">
        <v>12</v>
      </c>
      <c r="G137" s="440"/>
      <c r="H137" s="222"/>
      <c r="I137" s="441" t="s">
        <v>128</v>
      </c>
      <c r="J137" s="486"/>
      <c r="L137" s="452"/>
      <c r="M137" s="452"/>
    </row>
    <row r="138" spans="1:13">
      <c r="A138" s="236">
        <v>127</v>
      </c>
      <c r="C138" s="759" t="s">
        <v>841</v>
      </c>
      <c r="D138" s="375">
        <v>19990</v>
      </c>
      <c r="E138" s="374">
        <v>738851</v>
      </c>
      <c r="F138" s="375">
        <v>5</v>
      </c>
      <c r="G138" s="440"/>
      <c r="H138" s="222"/>
      <c r="I138" s="441" t="s">
        <v>128</v>
      </c>
      <c r="J138" s="486"/>
      <c r="L138" s="452"/>
      <c r="M138" s="452"/>
    </row>
    <row r="139" spans="1:13">
      <c r="A139" s="236">
        <v>128</v>
      </c>
      <c r="C139" s="759" t="s">
        <v>842</v>
      </c>
      <c r="D139" s="375">
        <v>64137</v>
      </c>
      <c r="E139" s="374">
        <v>3087373</v>
      </c>
      <c r="F139" s="375">
        <v>184</v>
      </c>
      <c r="G139" s="440"/>
      <c r="H139" s="222"/>
      <c r="I139" s="441" t="s">
        <v>128</v>
      </c>
      <c r="J139" s="486"/>
      <c r="L139" s="452"/>
      <c r="M139" s="452"/>
    </row>
    <row r="140" spans="1:13">
      <c r="A140" s="236">
        <v>129</v>
      </c>
      <c r="C140" s="759" t="s">
        <v>843</v>
      </c>
      <c r="D140" s="375">
        <v>8688</v>
      </c>
      <c r="E140" s="374">
        <v>413642</v>
      </c>
      <c r="F140" s="375">
        <v>3</v>
      </c>
      <c r="G140" s="440"/>
      <c r="H140" s="222"/>
      <c r="I140" s="441" t="s">
        <v>128</v>
      </c>
      <c r="J140" s="486"/>
      <c r="L140" s="452"/>
      <c r="M140" s="452"/>
    </row>
    <row r="141" spans="1:13">
      <c r="A141" s="236">
        <v>130</v>
      </c>
      <c r="C141" s="759" t="s">
        <v>844</v>
      </c>
      <c r="D141" s="375">
        <v>1427</v>
      </c>
      <c r="E141" s="374">
        <v>91839</v>
      </c>
      <c r="F141" s="375">
        <v>18</v>
      </c>
      <c r="G141" s="440"/>
      <c r="H141" s="222"/>
      <c r="I141" s="441" t="s">
        <v>128</v>
      </c>
      <c r="J141" s="486"/>
    </row>
    <row r="142" spans="1:13">
      <c r="A142" s="236">
        <v>131</v>
      </c>
      <c r="C142" s="759" t="s">
        <v>845</v>
      </c>
      <c r="D142" s="375">
        <v>3691</v>
      </c>
      <c r="E142" s="374">
        <v>152081</v>
      </c>
      <c r="F142" s="375">
        <v>1</v>
      </c>
      <c r="G142" s="440"/>
      <c r="H142" s="222"/>
      <c r="I142" s="441" t="s">
        <v>128</v>
      </c>
      <c r="J142" s="486"/>
    </row>
    <row r="143" spans="1:13">
      <c r="A143" s="236">
        <v>132</v>
      </c>
      <c r="C143" s="759" t="s">
        <v>846</v>
      </c>
      <c r="D143" s="375">
        <v>32228</v>
      </c>
      <c r="E143" s="374">
        <v>569630</v>
      </c>
      <c r="F143" s="375">
        <v>1</v>
      </c>
      <c r="G143" s="440"/>
      <c r="H143" s="222"/>
      <c r="I143" s="441" t="s">
        <v>128</v>
      </c>
      <c r="J143" s="486"/>
    </row>
    <row r="144" spans="1:13">
      <c r="A144" s="236">
        <v>133</v>
      </c>
      <c r="C144" s="759" t="s">
        <v>847</v>
      </c>
      <c r="D144" s="375">
        <v>6</v>
      </c>
      <c r="E144" s="374">
        <v>1607</v>
      </c>
      <c r="F144" s="375">
        <v>7</v>
      </c>
      <c r="G144" s="440"/>
      <c r="H144" s="222"/>
      <c r="I144" s="441" t="s">
        <v>128</v>
      </c>
      <c r="J144" s="486"/>
    </row>
    <row r="145" spans="1:10">
      <c r="A145" s="236">
        <v>134</v>
      </c>
      <c r="C145" s="759" t="s">
        <v>1182</v>
      </c>
      <c r="D145" s="375">
        <v>35</v>
      </c>
      <c r="E145" s="374">
        <v>2545</v>
      </c>
      <c r="F145" s="375">
        <v>1</v>
      </c>
      <c r="G145" s="440"/>
      <c r="H145" s="222"/>
      <c r="I145" s="441" t="s">
        <v>128</v>
      </c>
      <c r="J145" s="486"/>
    </row>
    <row r="146" spans="1:10">
      <c r="A146" s="236">
        <v>135</v>
      </c>
      <c r="C146" s="759" t="s">
        <v>848</v>
      </c>
      <c r="D146" s="375">
        <v>59184</v>
      </c>
      <c r="E146" s="374">
        <v>1038968</v>
      </c>
      <c r="F146" s="375">
        <v>1</v>
      </c>
      <c r="G146" s="440"/>
      <c r="H146" s="222"/>
      <c r="I146" s="441" t="s">
        <v>128</v>
      </c>
      <c r="J146" s="486"/>
    </row>
    <row r="147" spans="1:10">
      <c r="A147" s="236">
        <v>136</v>
      </c>
      <c r="C147" s="759" t="s">
        <v>849</v>
      </c>
      <c r="D147" s="375">
        <v>1470</v>
      </c>
      <c r="E147" s="374">
        <v>50843</v>
      </c>
      <c r="F147" s="375">
        <v>1</v>
      </c>
      <c r="G147" s="440"/>
      <c r="H147" s="222"/>
      <c r="I147" s="441" t="s">
        <v>128</v>
      </c>
      <c r="J147" s="486"/>
    </row>
    <row r="148" spans="1:10">
      <c r="A148" s="236">
        <v>137</v>
      </c>
      <c r="C148" s="759" t="s">
        <v>850</v>
      </c>
      <c r="D148" s="375">
        <v>584</v>
      </c>
      <c r="E148" s="374">
        <v>247105</v>
      </c>
      <c r="F148" s="375">
        <v>46</v>
      </c>
      <c r="G148" s="440"/>
      <c r="H148" s="222"/>
      <c r="I148" s="441" t="s">
        <v>128</v>
      </c>
      <c r="J148" s="486"/>
    </row>
    <row r="149" spans="1:10">
      <c r="A149" s="236">
        <v>138</v>
      </c>
      <c r="C149" s="759" t="s">
        <v>1183</v>
      </c>
      <c r="D149" s="375">
        <v>0</v>
      </c>
      <c r="E149" s="374">
        <v>0</v>
      </c>
      <c r="F149" s="375">
        <v>3</v>
      </c>
      <c r="G149" s="440"/>
      <c r="H149" s="222"/>
      <c r="I149" s="441" t="s">
        <v>128</v>
      </c>
      <c r="J149" s="486"/>
    </row>
    <row r="150" spans="1:10">
      <c r="A150" s="236">
        <v>139</v>
      </c>
      <c r="C150" s="759" t="s">
        <v>851</v>
      </c>
      <c r="D150" s="375">
        <v>26875</v>
      </c>
      <c r="E150" s="374">
        <v>957239</v>
      </c>
      <c r="F150" s="375">
        <v>4</v>
      </c>
      <c r="G150" s="440"/>
      <c r="H150" s="222"/>
      <c r="I150" s="441" t="s">
        <v>128</v>
      </c>
      <c r="J150" s="486"/>
    </row>
    <row r="151" spans="1:10">
      <c r="A151" s="236">
        <v>140</v>
      </c>
      <c r="C151" s="890" t="s">
        <v>852</v>
      </c>
      <c r="D151" s="534">
        <v>1586</v>
      </c>
      <c r="E151" s="535">
        <v>329566</v>
      </c>
      <c r="F151" s="534">
        <v>110</v>
      </c>
      <c r="G151" s="440"/>
      <c r="H151" s="222"/>
      <c r="I151" s="441" t="s">
        <v>128</v>
      </c>
      <c r="J151" s="486"/>
    </row>
    <row r="152" spans="1:10">
      <c r="A152" s="236">
        <v>141</v>
      </c>
      <c r="C152" s="891" t="s">
        <v>853</v>
      </c>
      <c r="D152" s="375">
        <f>SUM(D130:D151)</f>
        <v>513439</v>
      </c>
      <c r="E152" s="374">
        <f>SUM(E130:E151)</f>
        <v>29919350</v>
      </c>
      <c r="F152" s="375">
        <f>SUM(F130:F151)</f>
        <v>35970</v>
      </c>
      <c r="G152" s="440"/>
      <c r="H152" s="222"/>
      <c r="I152" s="441"/>
      <c r="J152" s="486"/>
    </row>
    <row r="153" spans="1:10">
      <c r="A153" s="236">
        <v>142</v>
      </c>
      <c r="C153" s="383"/>
      <c r="D153" s="375"/>
      <c r="E153" s="374"/>
      <c r="F153" s="375"/>
      <c r="G153" s="440"/>
      <c r="H153" s="222"/>
      <c r="I153" s="441"/>
      <c r="J153" s="486"/>
    </row>
    <row r="154" spans="1:10">
      <c r="A154" s="236">
        <v>143</v>
      </c>
      <c r="C154" s="383"/>
      <c r="D154" s="375"/>
      <c r="E154" s="374"/>
      <c r="F154" s="375"/>
      <c r="G154" s="440"/>
      <c r="H154" s="222"/>
      <c r="I154" s="441"/>
      <c r="J154" s="222"/>
    </row>
    <row r="155" spans="1:10">
      <c r="A155" s="236">
        <v>144</v>
      </c>
      <c r="C155" s="383"/>
      <c r="D155" s="375"/>
      <c r="E155" s="374"/>
      <c r="F155" s="375"/>
      <c r="G155" s="440"/>
      <c r="H155" s="222"/>
      <c r="I155" s="441"/>
      <c r="J155" s="222"/>
    </row>
    <row r="156" spans="1:10">
      <c r="A156" s="236">
        <v>145</v>
      </c>
      <c r="C156" s="383"/>
      <c r="D156" s="375"/>
      <c r="E156" s="374"/>
      <c r="F156" s="375"/>
      <c r="G156" s="440"/>
      <c r="H156" s="222"/>
      <c r="I156" s="441"/>
      <c r="J156" s="222"/>
    </row>
    <row r="157" spans="1:10">
      <c r="A157" s="236">
        <v>146</v>
      </c>
      <c r="C157" s="383"/>
      <c r="D157" s="375"/>
      <c r="E157" s="374"/>
      <c r="F157" s="375"/>
      <c r="G157" s="440"/>
      <c r="H157" s="222"/>
      <c r="I157" s="441"/>
      <c r="J157" s="222"/>
    </row>
    <row r="158" spans="1:10">
      <c r="A158" s="236">
        <v>147</v>
      </c>
      <c r="C158" s="383"/>
      <c r="D158" s="375"/>
      <c r="E158" s="374"/>
      <c r="F158" s="375"/>
      <c r="G158" s="440"/>
      <c r="H158" s="222"/>
      <c r="I158" s="441"/>
      <c r="J158" s="222"/>
    </row>
    <row r="159" spans="1:10">
      <c r="A159" s="236">
        <v>148</v>
      </c>
      <c r="C159" s="383"/>
      <c r="D159" s="375"/>
      <c r="E159" s="374"/>
      <c r="F159" s="375"/>
      <c r="G159" s="440"/>
      <c r="H159" s="222"/>
      <c r="I159" s="441"/>
      <c r="J159" s="222"/>
    </row>
    <row r="160" spans="1:10">
      <c r="A160" s="236">
        <v>149</v>
      </c>
      <c r="C160" s="383"/>
      <c r="D160" s="375"/>
      <c r="E160" s="374"/>
      <c r="F160" s="375"/>
      <c r="G160" s="440"/>
      <c r="H160" s="222"/>
      <c r="I160" s="441"/>
      <c r="J160" s="222"/>
    </row>
    <row r="161" spans="1:22">
      <c r="A161" s="236">
        <v>150</v>
      </c>
      <c r="C161" s="383"/>
      <c r="D161" s="375"/>
      <c r="E161" s="374"/>
      <c r="F161" s="375"/>
      <c r="G161" s="440"/>
      <c r="H161" s="222"/>
      <c r="I161" s="441"/>
      <c r="J161" s="222"/>
    </row>
    <row r="162" spans="1:22">
      <c r="A162" s="236">
        <v>151</v>
      </c>
      <c r="C162" s="383"/>
      <c r="D162" s="375"/>
      <c r="E162" s="374"/>
      <c r="F162" s="375"/>
      <c r="G162" s="440"/>
      <c r="H162" s="222"/>
      <c r="I162" s="441"/>
      <c r="J162" s="222"/>
    </row>
    <row r="163" spans="1:22">
      <c r="A163" s="236">
        <v>152</v>
      </c>
      <c r="C163" s="383"/>
      <c r="D163" s="375"/>
      <c r="E163" s="374"/>
      <c r="F163" s="375"/>
      <c r="G163" s="440"/>
      <c r="H163" s="222"/>
      <c r="I163" s="441"/>
      <c r="J163" s="222"/>
    </row>
    <row r="164" spans="1:22">
      <c r="A164" s="236">
        <v>153</v>
      </c>
      <c r="C164" s="383"/>
      <c r="D164" s="375"/>
      <c r="E164" s="374"/>
      <c r="F164" s="375"/>
      <c r="G164" s="440"/>
      <c r="H164" s="222"/>
      <c r="I164" s="441"/>
      <c r="J164" s="222"/>
    </row>
    <row r="165" spans="1:22">
      <c r="A165" s="236">
        <v>154</v>
      </c>
      <c r="C165" s="383"/>
      <c r="D165" s="375"/>
      <c r="E165" s="374"/>
      <c r="F165" s="375"/>
      <c r="G165" s="440"/>
      <c r="H165" s="222"/>
      <c r="I165" s="441"/>
      <c r="J165" s="222"/>
    </row>
    <row r="166" spans="1:22">
      <c r="A166" s="236">
        <v>155</v>
      </c>
      <c r="C166" s="383"/>
      <c r="D166" s="375"/>
      <c r="E166" s="374"/>
      <c r="F166" s="375"/>
      <c r="G166" s="440"/>
      <c r="H166" s="222"/>
      <c r="I166" s="441"/>
      <c r="J166" s="222"/>
    </row>
    <row r="167" spans="1:22">
      <c r="A167" s="236">
        <v>156</v>
      </c>
      <c r="C167" s="383"/>
      <c r="D167" s="375"/>
      <c r="E167" s="374"/>
      <c r="F167" s="375"/>
      <c r="G167" s="440"/>
      <c r="H167" s="222"/>
      <c r="I167" s="441"/>
      <c r="J167" s="222"/>
    </row>
    <row r="168" spans="1:22">
      <c r="A168" s="236">
        <v>157</v>
      </c>
      <c r="C168" s="383"/>
      <c r="D168" s="375"/>
      <c r="E168" s="374"/>
      <c r="F168" s="375"/>
      <c r="G168" s="440"/>
      <c r="H168" s="222"/>
      <c r="I168" s="441"/>
      <c r="J168" s="222"/>
    </row>
    <row r="169" spans="1:22">
      <c r="A169" s="236">
        <v>158</v>
      </c>
      <c r="C169" s="383"/>
      <c r="D169" s="375"/>
      <c r="E169" s="374"/>
      <c r="F169" s="375"/>
      <c r="G169" s="440"/>
      <c r="H169" s="222"/>
      <c r="I169" s="441"/>
      <c r="J169" s="222"/>
    </row>
    <row r="170" spans="1:22">
      <c r="A170" s="236">
        <v>159</v>
      </c>
      <c r="C170" s="383"/>
      <c r="D170" s="375"/>
      <c r="E170" s="374"/>
      <c r="F170" s="375"/>
      <c r="G170" s="440"/>
      <c r="H170" s="222"/>
      <c r="I170" s="441"/>
      <c r="J170" s="222"/>
    </row>
    <row r="171" spans="1:22">
      <c r="A171" s="236">
        <v>160</v>
      </c>
      <c r="C171" s="383"/>
      <c r="D171" s="375"/>
      <c r="E171" s="374"/>
      <c r="F171" s="375"/>
      <c r="G171" s="440"/>
      <c r="H171" s="222"/>
      <c r="I171" s="441"/>
      <c r="J171" s="222"/>
    </row>
    <row r="172" spans="1:22">
      <c r="A172" s="236">
        <v>161</v>
      </c>
      <c r="C172" s="222"/>
      <c r="D172" s="339"/>
      <c r="E172" s="373"/>
      <c r="F172" s="339"/>
      <c r="G172" s="440"/>
      <c r="H172" s="222"/>
      <c r="I172" s="352"/>
      <c r="J172" s="222"/>
    </row>
    <row r="173" spans="1:22" s="255" customFormat="1">
      <c r="A173" s="236">
        <v>162</v>
      </c>
      <c r="B173" s="135" t="s">
        <v>654</v>
      </c>
      <c r="C173" s="256"/>
      <c r="D173" s="492" t="s">
        <v>510</v>
      </c>
      <c r="E173" s="492" t="s">
        <v>511</v>
      </c>
      <c r="F173" s="492" t="s">
        <v>512</v>
      </c>
      <c r="G173" s="493"/>
      <c r="H173" s="256"/>
      <c r="I173" s="492" t="s">
        <v>422</v>
      </c>
      <c r="J173" s="256"/>
      <c r="K173" s="492" t="s">
        <v>423</v>
      </c>
      <c r="L173" s="256"/>
      <c r="M173" s="256"/>
      <c r="N173" s="256"/>
      <c r="O173" s="256"/>
      <c r="P173" s="256"/>
      <c r="Q173" s="256"/>
      <c r="R173" s="256"/>
      <c r="S173" s="256"/>
      <c r="T173" s="256"/>
      <c r="U173" s="256"/>
      <c r="V173" s="256"/>
    </row>
    <row r="174" spans="1:22" s="255" customFormat="1">
      <c r="A174" s="236">
        <v>163</v>
      </c>
      <c r="B174" s="256"/>
      <c r="C174" s="256" t="s">
        <v>655</v>
      </c>
      <c r="D174" s="494">
        <f>-27273.4639999999</f>
        <v>-27273.463999999902</v>
      </c>
      <c r="E174" s="494">
        <v>-5677</v>
      </c>
      <c r="F174" s="495">
        <f t="shared" ref="F174" si="9">D174+E174</f>
        <v>-32950.463999999905</v>
      </c>
      <c r="G174" s="496"/>
      <c r="H174" s="256"/>
      <c r="I174" s="497">
        <v>-32950</v>
      </c>
      <c r="J174" s="256"/>
      <c r="K174" s="256" t="s">
        <v>513</v>
      </c>
      <c r="L174" s="256"/>
      <c r="M174" s="256"/>
      <c r="N174" s="256"/>
      <c r="O174" s="256"/>
      <c r="P174" s="256"/>
      <c r="Q174" s="256"/>
      <c r="R174" s="256"/>
      <c r="S174" s="256"/>
      <c r="T174" s="256"/>
      <c r="U174" s="256"/>
      <c r="V174" s="256"/>
    </row>
    <row r="175" spans="1:22" s="255" customFormat="1">
      <c r="A175" s="236">
        <v>164</v>
      </c>
      <c r="B175" s="256"/>
      <c r="C175" s="256" t="s">
        <v>656</v>
      </c>
      <c r="D175" s="277">
        <v>-2421974</v>
      </c>
      <c r="E175" s="277">
        <v>-343227</v>
      </c>
      <c r="F175" s="464">
        <f>D175+E175</f>
        <v>-2765201</v>
      </c>
      <c r="G175" s="496"/>
      <c r="H175" s="256"/>
      <c r="I175" s="476">
        <v>-2765201</v>
      </c>
      <c r="J175" s="256"/>
      <c r="K175" s="256" t="s">
        <v>514</v>
      </c>
      <c r="L175" s="256"/>
      <c r="M175" s="256"/>
      <c r="N175" s="256"/>
      <c r="O175" s="256"/>
      <c r="P175" s="256"/>
      <c r="Q175" s="256"/>
      <c r="R175" s="256"/>
      <c r="S175" s="256"/>
      <c r="T175" s="256"/>
      <c r="U175" s="256"/>
      <c r="V175" s="256"/>
    </row>
    <row r="176" spans="1:22" s="255" customFormat="1">
      <c r="A176" s="236">
        <v>165</v>
      </c>
      <c r="B176" s="256"/>
      <c r="C176" s="256"/>
      <c r="D176" s="463"/>
      <c r="E176" s="463"/>
      <c r="F176" s="463"/>
      <c r="G176" s="465"/>
      <c r="H176" s="256"/>
      <c r="I176" s="463"/>
      <c r="J176" s="256"/>
      <c r="K176" s="256"/>
      <c r="L176" s="256"/>
      <c r="M176" s="256"/>
      <c r="N176" s="256"/>
      <c r="O176" s="256"/>
      <c r="P176" s="256"/>
      <c r="Q176" s="256"/>
      <c r="R176" s="256"/>
      <c r="S176" s="256"/>
      <c r="T176" s="256"/>
      <c r="U176" s="256"/>
      <c r="V176" s="256"/>
    </row>
    <row r="177" spans="1:22" s="255" customFormat="1">
      <c r="A177" s="236">
        <v>166</v>
      </c>
      <c r="B177" s="256"/>
      <c r="C177" s="256"/>
      <c r="D177" s="498" t="s">
        <v>504</v>
      </c>
      <c r="E177" s="498" t="s">
        <v>505</v>
      </c>
      <c r="F177" s="498" t="s">
        <v>506</v>
      </c>
      <c r="G177" s="253"/>
      <c r="H177" s="256"/>
      <c r="I177" s="256"/>
      <c r="J177" s="256"/>
      <c r="K177" s="256"/>
      <c r="L177" s="256"/>
      <c r="M177" s="256"/>
      <c r="N177" s="256"/>
      <c r="O177" s="256"/>
      <c r="P177" s="256"/>
      <c r="Q177" s="256"/>
      <c r="R177" s="256"/>
      <c r="S177" s="256"/>
      <c r="T177" s="256"/>
      <c r="U177" s="256"/>
      <c r="V177" s="256"/>
    </row>
    <row r="178" spans="1:22" s="255" customFormat="1">
      <c r="A178" s="236">
        <v>167</v>
      </c>
      <c r="B178" s="256"/>
      <c r="C178" s="117" t="s">
        <v>515</v>
      </c>
      <c r="D178" s="494">
        <f>SUMIF($I$106:$I$171,"BHD",D$106:D$171)</f>
        <v>1457244</v>
      </c>
      <c r="E178" s="277">
        <f>SUMIF($I$106:$I$171,"BHD",E$106:E$171)</f>
        <v>120503160</v>
      </c>
      <c r="F178" s="494">
        <f>SUMIF($I$106:$I$159,"BHD",F$106:F$159)</f>
        <v>129888</v>
      </c>
      <c r="G178" s="465" t="s">
        <v>583</v>
      </c>
      <c r="H178" s="256"/>
      <c r="I178" s="256"/>
      <c r="J178" s="256"/>
      <c r="K178" s="256" t="s">
        <v>516</v>
      </c>
      <c r="L178" s="256"/>
      <c r="M178" s="256"/>
      <c r="N178" s="256"/>
      <c r="O178" s="256"/>
      <c r="P178" s="256"/>
      <c r="Q178" s="256"/>
      <c r="R178" s="256"/>
      <c r="S178" s="256"/>
      <c r="T178" s="256"/>
      <c r="U178" s="256"/>
      <c r="V178" s="256"/>
    </row>
    <row r="179" spans="1:22" s="255" customFormat="1">
      <c r="A179" s="236">
        <v>168</v>
      </c>
      <c r="B179" s="256"/>
      <c r="C179" s="117" t="s">
        <v>517</v>
      </c>
      <c r="D179" s="494">
        <f>SUMIF($I$106:$I$171,"MPD",D$106:D$171)</f>
        <v>513439</v>
      </c>
      <c r="E179" s="277">
        <f>SUMIF($I$106:$I$171,"MPD",E$106:E$171)</f>
        <v>29919350</v>
      </c>
      <c r="F179" s="494">
        <f>SUMIF($I$106:$I$159,"MPD",F$106:F$159)</f>
        <v>35970</v>
      </c>
      <c r="G179" s="465" t="s">
        <v>583</v>
      </c>
      <c r="H179" s="256"/>
      <c r="I179" s="256"/>
      <c r="J179" s="256"/>
      <c r="K179" s="256" t="s">
        <v>518</v>
      </c>
      <c r="L179" s="256"/>
      <c r="M179" s="256"/>
      <c r="N179" s="256"/>
      <c r="O179" s="256"/>
      <c r="P179" s="256"/>
      <c r="Q179" s="256"/>
      <c r="R179" s="256"/>
      <c r="S179" s="256"/>
      <c r="T179" s="256"/>
      <c r="U179" s="256"/>
      <c r="V179" s="256"/>
    </row>
    <row r="180" spans="1:22" s="255" customFormat="1">
      <c r="A180" s="236">
        <v>169</v>
      </c>
      <c r="B180" s="256"/>
      <c r="C180" s="256"/>
      <c r="D180" s="497">
        <f>SUM(D178:D179)</f>
        <v>1970683</v>
      </c>
      <c r="E180" s="461">
        <f>SUM(E178:E179)</f>
        <v>150422510</v>
      </c>
      <c r="F180" s="497">
        <f>SUM(F178:F179)</f>
        <v>165858</v>
      </c>
      <c r="G180" s="499"/>
      <c r="H180" s="256"/>
      <c r="I180" s="256"/>
      <c r="J180" s="256"/>
      <c r="K180" s="256"/>
      <c r="L180" s="256"/>
      <c r="M180" s="256"/>
      <c r="N180" s="256"/>
      <c r="O180" s="256"/>
      <c r="P180" s="256"/>
      <c r="Q180" s="256"/>
      <c r="R180" s="256"/>
      <c r="S180" s="256"/>
      <c r="T180" s="256"/>
      <c r="U180" s="256"/>
      <c r="V180" s="256"/>
    </row>
    <row r="181" spans="1:22" s="255" customFormat="1">
      <c r="A181" s="236">
        <v>170</v>
      </c>
      <c r="B181" s="256"/>
      <c r="C181" s="256"/>
      <c r="D181" s="256"/>
      <c r="E181" s="256"/>
      <c r="F181" s="256"/>
      <c r="G181" s="253"/>
      <c r="H181" s="256"/>
      <c r="I181" s="256"/>
      <c r="J181" s="256"/>
      <c r="K181" s="256"/>
      <c r="L181" s="256"/>
      <c r="M181" s="256"/>
      <c r="N181" s="256"/>
      <c r="O181" s="256"/>
      <c r="P181" s="256"/>
      <c r="Q181" s="256"/>
      <c r="R181" s="256"/>
      <c r="S181" s="256"/>
      <c r="T181" s="256"/>
      <c r="U181" s="256"/>
      <c r="V181" s="256"/>
    </row>
    <row r="182" spans="1:22" s="255" customFormat="1">
      <c r="A182" s="236">
        <v>171</v>
      </c>
      <c r="B182" s="256"/>
      <c r="C182" s="117" t="s">
        <v>519</v>
      </c>
      <c r="D182" s="494">
        <f>D178+D174</f>
        <v>1429970.5360000001</v>
      </c>
      <c r="E182" s="277">
        <f>E178+D175</f>
        <v>118081186</v>
      </c>
      <c r="F182" s="500"/>
      <c r="G182" s="465" t="s">
        <v>425</v>
      </c>
      <c r="H182" s="256"/>
      <c r="I182" s="256"/>
      <c r="J182" s="256"/>
      <c r="K182" s="256" t="s">
        <v>667</v>
      </c>
      <c r="L182" s="256"/>
      <c r="M182" s="256"/>
      <c r="N182" s="256"/>
      <c r="O182" s="256"/>
      <c r="P182" s="256"/>
      <c r="Q182" s="256"/>
      <c r="R182" s="256"/>
      <c r="S182" s="256"/>
      <c r="T182" s="256"/>
      <c r="U182" s="256"/>
      <c r="V182" s="256"/>
    </row>
    <row r="183" spans="1:22" s="255" customFormat="1">
      <c r="A183" s="236">
        <v>172</v>
      </c>
      <c r="B183" s="256"/>
      <c r="C183" s="117" t="s">
        <v>520</v>
      </c>
      <c r="D183" s="494">
        <f>D179+E174</f>
        <v>507762</v>
      </c>
      <c r="E183" s="277">
        <f>E179+E175</f>
        <v>29576123</v>
      </c>
      <c r="F183" s="500"/>
      <c r="G183" s="465" t="s">
        <v>425</v>
      </c>
      <c r="H183" s="256"/>
      <c r="I183" s="256"/>
      <c r="J183" s="256"/>
      <c r="K183" s="256" t="s">
        <v>668</v>
      </c>
      <c r="L183" s="256"/>
      <c r="M183" s="256"/>
      <c r="N183" s="256"/>
      <c r="O183" s="256"/>
      <c r="P183" s="256"/>
      <c r="Q183" s="256"/>
      <c r="R183" s="256"/>
      <c r="S183" s="256"/>
      <c r="T183" s="256"/>
      <c r="U183" s="256"/>
      <c r="V183" s="256"/>
    </row>
    <row r="184" spans="1:22" s="255" customFormat="1">
      <c r="A184" s="236">
        <v>173</v>
      </c>
      <c r="B184" s="256"/>
      <c r="C184" s="256"/>
      <c r="D184" s="497">
        <f>SUM(D182:D183)</f>
        <v>1937732.5360000001</v>
      </c>
      <c r="E184" s="461">
        <f>SUM(E182:E183)</f>
        <v>147657309</v>
      </c>
      <c r="F184" s="500"/>
      <c r="G184" s="499"/>
      <c r="H184" s="256"/>
      <c r="I184" s="256"/>
      <c r="J184" s="256"/>
      <c r="K184" s="256" t="s">
        <v>521</v>
      </c>
      <c r="L184" s="256"/>
      <c r="M184" s="256"/>
      <c r="N184" s="256"/>
      <c r="O184" s="256"/>
      <c r="P184" s="256"/>
      <c r="Q184" s="256"/>
      <c r="R184" s="256"/>
      <c r="S184" s="256"/>
      <c r="T184" s="256"/>
      <c r="U184" s="256"/>
      <c r="V184" s="256"/>
    </row>
    <row r="185" spans="1:22" s="255" customFormat="1">
      <c r="A185" s="236">
        <v>174</v>
      </c>
      <c r="B185" s="256"/>
      <c r="C185" s="256"/>
      <c r="D185" s="256"/>
      <c r="E185" s="256"/>
      <c r="F185" s="256"/>
      <c r="G185" s="253"/>
      <c r="H185" s="256"/>
      <c r="I185" s="256"/>
      <c r="J185" s="256"/>
      <c r="K185" s="256"/>
      <c r="L185" s="256"/>
      <c r="M185" s="256"/>
      <c r="N185" s="256"/>
      <c r="O185" s="256"/>
      <c r="P185" s="256"/>
      <c r="Q185" s="256"/>
      <c r="R185" s="256"/>
      <c r="S185" s="256"/>
      <c r="T185" s="256"/>
      <c r="U185" s="256"/>
      <c r="V185" s="256"/>
    </row>
    <row r="186" spans="1:22" s="255" customFormat="1">
      <c r="A186" s="236">
        <v>175</v>
      </c>
      <c r="C186" s="256" t="s">
        <v>584</v>
      </c>
      <c r="G186" s="256"/>
      <c r="K186" s="256"/>
      <c r="L186" s="256"/>
      <c r="M186" s="256"/>
      <c r="N186" s="256"/>
      <c r="O186" s="256"/>
      <c r="P186" s="256"/>
      <c r="Q186" s="256"/>
      <c r="R186" s="256"/>
      <c r="S186" s="256"/>
      <c r="T186" s="256"/>
      <c r="U186" s="256"/>
      <c r="V186" s="256"/>
    </row>
    <row r="188" spans="1:22">
      <c r="D188" s="537"/>
    </row>
    <row r="189" spans="1:22">
      <c r="D189" s="537"/>
    </row>
    <row r="190" spans="1:22">
      <c r="D190" s="537"/>
    </row>
  </sheetData>
  <pageMargins left="0.5" right="0.5" top="0.5" bottom="0.5" header="0" footer="0"/>
  <pageSetup paperSize="5"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topLeftCell="Q4" zoomScale="81" zoomScaleNormal="70" zoomScaleSheetLayoutView="81" workbookViewId="0"/>
  </sheetViews>
  <sheetFormatPr defaultColWidth="8.88671875" defaultRowHeight="14.25"/>
  <cols>
    <col min="1" max="1" width="4.21875" style="255" customWidth="1"/>
    <col min="2" max="2" width="2.6640625" style="255" customWidth="1"/>
    <col min="3" max="3" width="45.21875" style="255" customWidth="1"/>
    <col min="4" max="4" width="12.88671875" style="255" customWidth="1"/>
    <col min="5" max="6" width="12.6640625" style="255" bestFit="1" customWidth="1"/>
    <col min="7" max="7" width="14.33203125" style="255" customWidth="1"/>
    <col min="8" max="8" width="13" style="255" customWidth="1"/>
    <col min="9" max="9" width="13.109375" style="255" customWidth="1"/>
    <col min="10" max="10" width="14.44140625" style="255" customWidth="1"/>
    <col min="11" max="11" width="13.44140625" style="255" customWidth="1"/>
    <col min="12" max="12" width="14" style="255" customWidth="1"/>
    <col min="13" max="13" width="14.44140625" style="255" customWidth="1"/>
    <col min="14" max="14" width="13.6640625" style="255" customWidth="1"/>
    <col min="15" max="15" width="14" style="255" customWidth="1"/>
    <col min="16" max="16" width="12.6640625" style="255" bestFit="1" customWidth="1"/>
    <col min="17" max="17" width="12.33203125" style="255" customWidth="1"/>
    <col min="18" max="18" width="16.77734375" style="255" customWidth="1"/>
    <col min="19" max="19" width="11.21875" style="255" customWidth="1"/>
    <col min="20" max="20" width="13.33203125" style="255" customWidth="1"/>
    <col min="21" max="21" width="3.33203125" style="255" customWidth="1"/>
    <col min="22" max="22" width="27.77734375" style="256" bestFit="1" customWidth="1"/>
    <col min="23" max="23" width="11.21875" style="255" customWidth="1"/>
    <col min="24" max="24" width="13.77734375" style="256" customWidth="1"/>
    <col min="25" max="36" width="13.77734375" style="255" customWidth="1"/>
    <col min="37" max="16384" width="8.88671875" style="255"/>
  </cols>
  <sheetData>
    <row r="1" spans="1:26" ht="15">
      <c r="A1" s="259" t="str">
        <f>'Exhibit 1a'!A1</f>
        <v>VERSANT POWER – MAINE PUBLIC DISTRICT OATT</v>
      </c>
      <c r="B1" s="136"/>
      <c r="D1" s="136"/>
      <c r="E1" s="136"/>
      <c r="F1" s="136"/>
      <c r="G1" s="136"/>
      <c r="H1" s="136"/>
      <c r="I1" s="136"/>
      <c r="J1" s="136"/>
      <c r="K1" s="136"/>
      <c r="L1" s="136"/>
      <c r="M1" s="136"/>
      <c r="N1" s="136"/>
      <c r="O1" s="136"/>
      <c r="P1" s="136"/>
      <c r="Q1" s="238"/>
      <c r="R1" s="253"/>
      <c r="S1" s="239"/>
      <c r="T1" s="489"/>
      <c r="U1" s="253"/>
      <c r="V1" s="196" t="s">
        <v>48</v>
      </c>
      <c r="W1" s="238"/>
      <c r="X1" s="238"/>
      <c r="Z1" s="136"/>
    </row>
    <row r="2" spans="1:26" ht="15">
      <c r="A2" s="259" t="str">
        <f>'Exhibit 1a'!A2</f>
        <v>ATTACHMENT J FORMULA RATES</v>
      </c>
      <c r="B2" s="136"/>
      <c r="C2" s="136"/>
      <c r="D2" s="136"/>
      <c r="E2" s="136"/>
      <c r="F2" s="136"/>
      <c r="G2" s="136"/>
      <c r="H2" s="136"/>
      <c r="I2" s="136"/>
      <c r="J2" s="136"/>
      <c r="K2" s="136"/>
      <c r="L2" s="136"/>
      <c r="M2" s="136"/>
      <c r="N2" s="136"/>
      <c r="O2" s="136"/>
      <c r="P2" s="136"/>
      <c r="Q2" s="238"/>
      <c r="R2" s="253"/>
      <c r="S2" s="239"/>
      <c r="T2" s="489"/>
      <c r="U2" s="253"/>
      <c r="V2" s="94" t="s">
        <v>332</v>
      </c>
      <c r="W2" s="238"/>
      <c r="X2" s="238"/>
      <c r="Z2" s="136"/>
    </row>
    <row r="3" spans="1:26" ht="15">
      <c r="A3" s="259" t="str">
        <f>'Exhibit 1a'!A3</f>
        <v>RATE YEAR JUNE 1, 2020 TO MAY 31, 2021</v>
      </c>
      <c r="B3" s="136"/>
      <c r="C3" s="136"/>
      <c r="D3" s="136"/>
      <c r="E3" s="136"/>
      <c r="F3" s="136"/>
      <c r="G3" s="136"/>
      <c r="H3" s="136"/>
      <c r="I3" s="136"/>
      <c r="J3" s="136"/>
      <c r="K3" s="136"/>
      <c r="L3" s="136"/>
      <c r="M3" s="136"/>
      <c r="N3" s="136"/>
      <c r="O3" s="136"/>
      <c r="P3" s="136"/>
      <c r="Q3" s="266"/>
      <c r="R3" s="253"/>
      <c r="S3" s="239"/>
      <c r="T3" s="489"/>
      <c r="U3" s="253"/>
      <c r="V3" s="239"/>
      <c r="W3" s="238"/>
      <c r="X3" s="238"/>
      <c r="Y3" s="136"/>
      <c r="Z3" s="136"/>
    </row>
    <row r="4" spans="1:26" s="256" customFormat="1" ht="15">
      <c r="A4" s="259" t="str">
        <f>'Exhibit 1a'!A4</f>
        <v>Actual ATRR &amp; CHARGES BASED ON ACTUAL CY 2020 VALUES</v>
      </c>
      <c r="B4" s="136"/>
      <c r="C4" s="136"/>
      <c r="D4" s="136"/>
      <c r="E4" s="136"/>
      <c r="F4" s="136"/>
      <c r="G4" s="136"/>
      <c r="H4" s="136"/>
      <c r="I4" s="136"/>
      <c r="J4" s="136"/>
      <c r="K4" s="136"/>
      <c r="L4" s="136"/>
      <c r="M4" s="136"/>
      <c r="N4" s="136"/>
      <c r="O4" s="136"/>
      <c r="P4" s="136"/>
      <c r="Q4" s="266"/>
      <c r="R4" s="253"/>
      <c r="S4" s="239"/>
      <c r="T4" s="489"/>
      <c r="U4" s="253"/>
      <c r="V4" s="239"/>
      <c r="W4" s="238"/>
      <c r="X4" s="238"/>
      <c r="Y4" s="136"/>
      <c r="Z4" s="136"/>
    </row>
    <row r="5" spans="1:26" ht="15">
      <c r="A5" s="276"/>
      <c r="B5" s="256"/>
      <c r="C5" s="256"/>
      <c r="D5" s="256"/>
      <c r="E5" s="256"/>
      <c r="F5" s="256"/>
      <c r="G5" s="256"/>
      <c r="H5" s="256"/>
      <c r="I5" s="256"/>
      <c r="J5" s="256"/>
      <c r="K5" s="256"/>
      <c r="L5" s="256"/>
      <c r="M5" s="256"/>
      <c r="N5" s="256"/>
      <c r="O5" s="256"/>
      <c r="P5" s="256"/>
      <c r="Q5" s="330"/>
      <c r="R5" s="253"/>
      <c r="S5" s="235"/>
      <c r="T5" s="371"/>
      <c r="U5" s="253"/>
      <c r="V5" s="235"/>
      <c r="W5" s="330"/>
      <c r="X5" s="330"/>
      <c r="Y5" s="256"/>
      <c r="Z5" s="256"/>
    </row>
    <row r="6" spans="1:26" ht="15">
      <c r="A6" s="54" t="s">
        <v>333</v>
      </c>
      <c r="B6" s="256"/>
      <c r="C6" s="256"/>
      <c r="D6" s="424" t="s">
        <v>66</v>
      </c>
      <c r="E6" s="424" t="s">
        <v>43</v>
      </c>
      <c r="F6" s="424" t="s">
        <v>65</v>
      </c>
      <c r="G6" s="424" t="s">
        <v>64</v>
      </c>
      <c r="H6" s="424" t="s">
        <v>63</v>
      </c>
      <c r="I6" s="424" t="s">
        <v>62</v>
      </c>
      <c r="J6" s="424" t="s">
        <v>368</v>
      </c>
      <c r="K6" s="424" t="s">
        <v>369</v>
      </c>
      <c r="L6" s="424" t="s">
        <v>370</v>
      </c>
      <c r="M6" s="424" t="s">
        <v>371</v>
      </c>
      <c r="N6" s="424" t="s">
        <v>372</v>
      </c>
      <c r="O6" s="424" t="s">
        <v>373</v>
      </c>
      <c r="P6" s="466" t="s">
        <v>374</v>
      </c>
      <c r="Q6" s="466" t="s">
        <v>569</v>
      </c>
      <c r="R6" s="948" t="s">
        <v>375</v>
      </c>
      <c r="S6" s="948"/>
      <c r="T6" s="467" t="s">
        <v>376</v>
      </c>
      <c r="U6" s="466"/>
      <c r="V6" s="253"/>
      <c r="W6" s="256"/>
      <c r="X6" s="255"/>
    </row>
    <row r="7" spans="1:26" ht="15">
      <c r="A7" s="256"/>
      <c r="B7" s="256"/>
      <c r="C7" s="256"/>
      <c r="D7" s="468"/>
      <c r="E7" s="468"/>
      <c r="F7" s="468"/>
      <c r="G7" s="468"/>
      <c r="H7" s="468"/>
      <c r="I7" s="468"/>
      <c r="J7" s="468"/>
      <c r="K7" s="468"/>
      <c r="L7" s="468"/>
      <c r="M7" s="468"/>
      <c r="N7" s="468"/>
      <c r="O7" s="468"/>
      <c r="P7" s="468"/>
      <c r="Q7" s="469"/>
      <c r="R7" s="15"/>
      <c r="S7" s="470"/>
      <c r="T7" s="466"/>
      <c r="U7" s="466"/>
      <c r="V7" s="253"/>
      <c r="W7" s="256"/>
      <c r="X7" s="255"/>
    </row>
    <row r="8" spans="1:26" ht="15">
      <c r="A8" s="256"/>
      <c r="B8" s="256"/>
      <c r="C8" s="256"/>
      <c r="D8" s="425" t="s">
        <v>350</v>
      </c>
      <c r="E8" s="425" t="s">
        <v>349</v>
      </c>
      <c r="F8" s="425" t="s">
        <v>351</v>
      </c>
      <c r="G8" s="425" t="s">
        <v>352</v>
      </c>
      <c r="H8" s="425" t="s">
        <v>353</v>
      </c>
      <c r="I8" s="425" t="s">
        <v>235</v>
      </c>
      <c r="J8" s="425" t="s">
        <v>354</v>
      </c>
      <c r="K8" s="425" t="s">
        <v>355</v>
      </c>
      <c r="L8" s="425" t="s">
        <v>356</v>
      </c>
      <c r="M8" s="425" t="s">
        <v>357</v>
      </c>
      <c r="N8" s="425" t="s">
        <v>358</v>
      </c>
      <c r="O8" s="425" t="s">
        <v>359</v>
      </c>
      <c r="P8" s="425" t="s">
        <v>350</v>
      </c>
      <c r="Q8" s="471"/>
      <c r="R8" s="942" t="s">
        <v>280</v>
      </c>
      <c r="S8" s="942"/>
      <c r="T8" s="424" t="s">
        <v>128</v>
      </c>
      <c r="U8" s="424"/>
      <c r="V8" s="253"/>
      <c r="W8" s="256"/>
      <c r="X8" s="255"/>
    </row>
    <row r="9" spans="1:26" ht="15">
      <c r="A9" s="254" t="s">
        <v>14</v>
      </c>
      <c r="B9" s="217" t="s">
        <v>13</v>
      </c>
      <c r="C9" s="217"/>
      <c r="D9" s="900">
        <v>2019</v>
      </c>
      <c r="E9" s="900">
        <v>2020</v>
      </c>
      <c r="F9" s="900">
        <v>2020</v>
      </c>
      <c r="G9" s="900">
        <v>2020</v>
      </c>
      <c r="H9" s="900">
        <v>2020</v>
      </c>
      <c r="I9" s="900">
        <v>2020</v>
      </c>
      <c r="J9" s="900">
        <v>2020</v>
      </c>
      <c r="K9" s="900">
        <v>2020</v>
      </c>
      <c r="L9" s="900">
        <v>2020</v>
      </c>
      <c r="M9" s="900">
        <v>2020</v>
      </c>
      <c r="N9" s="900">
        <v>2020</v>
      </c>
      <c r="O9" s="900">
        <v>2020</v>
      </c>
      <c r="P9" s="900">
        <v>2020</v>
      </c>
      <c r="Q9" s="472" t="s">
        <v>141</v>
      </c>
      <c r="R9" s="943" t="s">
        <v>140</v>
      </c>
      <c r="S9" s="943"/>
      <c r="T9" s="472" t="s">
        <v>3</v>
      </c>
      <c r="U9" s="472"/>
      <c r="V9" s="254" t="s">
        <v>25</v>
      </c>
      <c r="W9" s="256"/>
      <c r="X9" s="255"/>
    </row>
    <row r="10" spans="1:26">
      <c r="A10" s="253"/>
      <c r="B10" s="256"/>
      <c r="C10" s="256"/>
      <c r="D10" s="256"/>
      <c r="E10" s="256"/>
      <c r="F10" s="256"/>
      <c r="G10" s="256"/>
      <c r="H10" s="256"/>
      <c r="I10" s="256"/>
      <c r="J10" s="256"/>
      <c r="K10" s="256"/>
      <c r="L10" s="256"/>
      <c r="M10" s="256"/>
      <c r="N10" s="256"/>
      <c r="O10" s="256"/>
      <c r="P10" s="256"/>
      <c r="Q10" s="371"/>
      <c r="R10" s="253"/>
      <c r="S10" s="473"/>
      <c r="T10" s="371"/>
      <c r="U10" s="371"/>
      <c r="V10" s="253"/>
      <c r="W10" s="256"/>
      <c r="X10" s="255"/>
    </row>
    <row r="11" spans="1:26">
      <c r="A11" s="77">
        <v>1</v>
      </c>
      <c r="B11" s="256" t="s">
        <v>279</v>
      </c>
      <c r="C11" s="256"/>
      <c r="D11" s="256"/>
      <c r="E11" s="256"/>
      <c r="F11" s="256"/>
      <c r="G11" s="256"/>
      <c r="H11" s="256"/>
      <c r="I11" s="256"/>
      <c r="J11" s="256"/>
      <c r="K11" s="256"/>
      <c r="L11" s="256"/>
      <c r="M11" s="256"/>
      <c r="N11" s="256"/>
      <c r="O11" s="256"/>
      <c r="P11" s="256"/>
      <c r="Q11" s="371"/>
      <c r="R11" s="253"/>
      <c r="S11" s="473"/>
      <c r="T11" s="371"/>
      <c r="U11" s="371"/>
      <c r="V11" s="252" t="s">
        <v>278</v>
      </c>
      <c r="W11" s="256"/>
      <c r="X11" s="255"/>
    </row>
    <row r="12" spans="1:26">
      <c r="A12" s="77">
        <v>2</v>
      </c>
      <c r="B12" s="256"/>
      <c r="C12" s="474" t="s">
        <v>777</v>
      </c>
      <c r="D12" s="904">
        <v>931040.84205314005</v>
      </c>
      <c r="E12" s="904">
        <v>922566.15121936006</v>
      </c>
      <c r="F12" s="904">
        <v>914708.86858489003</v>
      </c>
      <c r="G12" s="904">
        <v>909445.33554592996</v>
      </c>
      <c r="H12" s="904">
        <v>907773.60366591997</v>
      </c>
      <c r="I12" s="904">
        <v>904646.45567025</v>
      </c>
      <c r="J12" s="904">
        <v>899024.10862922994</v>
      </c>
      <c r="K12" s="904">
        <v>891812.49930431996</v>
      </c>
      <c r="L12" s="904">
        <v>885298.96385763003</v>
      </c>
      <c r="M12" s="904">
        <v>848272.12672174</v>
      </c>
      <c r="N12" s="904">
        <v>839022.57068490004</v>
      </c>
      <c r="O12" s="904">
        <v>832917.62108354003</v>
      </c>
      <c r="P12" s="904">
        <v>839266.20743868011</v>
      </c>
      <c r="Q12" s="817">
        <f>AVERAGE(D12:P12)</f>
        <v>886599.64265073324</v>
      </c>
      <c r="R12" s="465"/>
      <c r="S12" s="475"/>
      <c r="T12" s="371"/>
      <c r="U12" s="371"/>
      <c r="V12" s="252"/>
      <c r="W12" s="256"/>
      <c r="X12" s="255"/>
    </row>
    <row r="13" spans="1:26">
      <c r="A13" s="77">
        <v>3</v>
      </c>
      <c r="B13" s="256"/>
      <c r="C13" s="474" t="s">
        <v>778</v>
      </c>
      <c r="D13" s="904">
        <v>15629.261356770814</v>
      </c>
      <c r="E13" s="904">
        <v>16890.88335246552</v>
      </c>
      <c r="F13" s="904">
        <v>16933.123467005407</v>
      </c>
      <c r="G13" s="904">
        <v>16874.147065297722</v>
      </c>
      <c r="H13" s="904">
        <v>16815.155910883863</v>
      </c>
      <c r="I13" s="904">
        <v>16756.149934502304</v>
      </c>
      <c r="J13" s="904">
        <v>16697.129136153042</v>
      </c>
      <c r="K13" s="904">
        <v>16638.093377313013</v>
      </c>
      <c r="L13" s="904">
        <v>16579.042588720687</v>
      </c>
      <c r="M13" s="904">
        <v>16519.976770376063</v>
      </c>
      <c r="N13" s="904">
        <v>16460.895783756081</v>
      </c>
      <c r="O13" s="904">
        <v>16401.799628860732</v>
      </c>
      <c r="P13" s="904">
        <v>17692.965595948248</v>
      </c>
      <c r="Q13" s="817">
        <f t="shared" ref="Q13:Q15" si="0">AVERAGE(D13:P13)</f>
        <v>16683.740305234885</v>
      </c>
      <c r="R13" s="477"/>
      <c r="S13" s="475"/>
      <c r="T13" s="371"/>
      <c r="U13" s="371"/>
      <c r="V13" s="252"/>
      <c r="W13" s="256"/>
      <c r="X13" s="255"/>
    </row>
    <row r="14" spans="1:26">
      <c r="A14" s="77">
        <v>4</v>
      </c>
      <c r="B14" s="256"/>
      <c r="C14" s="478" t="s">
        <v>779</v>
      </c>
      <c r="D14" s="904">
        <v>60316.985188395571</v>
      </c>
      <c r="E14" s="904">
        <v>60316.985188395571</v>
      </c>
      <c r="F14" s="904">
        <v>60316.985188395571</v>
      </c>
      <c r="G14" s="904">
        <v>58600.985436020259</v>
      </c>
      <c r="H14" s="904">
        <v>58600.985436020259</v>
      </c>
      <c r="I14" s="904">
        <v>58600.985436020259</v>
      </c>
      <c r="J14" s="904">
        <v>58600.985436020259</v>
      </c>
      <c r="K14" s="904">
        <v>58600.985436020259</v>
      </c>
      <c r="L14" s="904">
        <v>58600.985436020259</v>
      </c>
      <c r="M14" s="904">
        <v>58600.985436020259</v>
      </c>
      <c r="N14" s="904">
        <v>58600.985436020259</v>
      </c>
      <c r="O14" s="904">
        <v>58600.985436020259</v>
      </c>
      <c r="P14" s="904">
        <v>84314.906539487434</v>
      </c>
      <c r="Q14" s="817">
        <f t="shared" si="0"/>
        <v>60974.979309912043</v>
      </c>
      <c r="R14" s="477"/>
      <c r="S14" s="475"/>
      <c r="T14" s="371"/>
      <c r="U14" s="371"/>
      <c r="V14" s="252"/>
      <c r="W14" s="256"/>
      <c r="X14" s="255"/>
    </row>
    <row r="15" spans="1:26">
      <c r="A15" s="77">
        <v>5</v>
      </c>
      <c r="B15" s="256"/>
      <c r="C15" s="361" t="s">
        <v>780</v>
      </c>
      <c r="D15" s="904">
        <v>1106397.9255060102</v>
      </c>
      <c r="E15" s="904">
        <v>1103845.67161727</v>
      </c>
      <c r="F15" s="904">
        <v>1101293.4177285302</v>
      </c>
      <c r="G15" s="904">
        <v>1098741.16383979</v>
      </c>
      <c r="H15" s="904">
        <v>1096188.9099510498</v>
      </c>
      <c r="I15" s="904">
        <v>407688.58027630998</v>
      </c>
      <c r="J15" s="904">
        <v>405136.32638757001</v>
      </c>
      <c r="K15" s="904">
        <v>402584.07249883004</v>
      </c>
      <c r="L15" s="904">
        <v>362157.97361009009</v>
      </c>
      <c r="M15" s="904">
        <v>359605.71972134995</v>
      </c>
      <c r="N15" s="904">
        <v>681154.04376247991</v>
      </c>
      <c r="O15" s="904">
        <v>602854.09987373999</v>
      </c>
      <c r="P15" s="904">
        <v>756255.024385</v>
      </c>
      <c r="Q15" s="817">
        <f t="shared" si="0"/>
        <v>729530.99455061683</v>
      </c>
      <c r="R15" s="256"/>
      <c r="S15" s="256"/>
      <c r="T15" s="371"/>
      <c r="U15" s="371"/>
      <c r="V15" s="252"/>
      <c r="W15" s="256"/>
      <c r="X15" s="255"/>
    </row>
    <row r="16" spans="1:26">
      <c r="A16" s="77">
        <v>6</v>
      </c>
      <c r="B16" s="256"/>
      <c r="C16" s="361" t="s">
        <v>781</v>
      </c>
      <c r="D16" s="361"/>
      <c r="E16" s="361"/>
      <c r="F16" s="361"/>
      <c r="G16" s="361"/>
      <c r="H16" s="361"/>
      <c r="I16" s="361"/>
      <c r="J16" s="361"/>
      <c r="K16" s="361"/>
      <c r="L16" s="361"/>
      <c r="M16" s="361"/>
      <c r="N16" s="361"/>
      <c r="O16" s="361"/>
      <c r="P16" s="361"/>
      <c r="Q16" s="880"/>
      <c r="R16" s="253"/>
      <c r="S16" s="473"/>
      <c r="T16" s="371"/>
      <c r="U16" s="371"/>
      <c r="V16" s="252"/>
      <c r="W16" s="256"/>
      <c r="X16" s="255"/>
    </row>
    <row r="17" spans="1:24">
      <c r="A17" s="77">
        <v>7</v>
      </c>
      <c r="B17" s="256"/>
      <c r="C17" s="361" t="s">
        <v>781</v>
      </c>
      <c r="D17" s="361"/>
      <c r="E17" s="361"/>
      <c r="F17" s="361"/>
      <c r="G17" s="361"/>
      <c r="H17" s="361"/>
      <c r="I17" s="361"/>
      <c r="J17" s="361"/>
      <c r="K17" s="361"/>
      <c r="L17" s="361"/>
      <c r="M17" s="361"/>
      <c r="N17" s="361"/>
      <c r="O17" s="361"/>
      <c r="P17" s="361"/>
      <c r="Q17" s="880"/>
      <c r="R17" s="253"/>
      <c r="S17" s="473"/>
      <c r="T17" s="371"/>
      <c r="U17" s="371"/>
      <c r="V17" s="252"/>
      <c r="W17" s="256"/>
      <c r="X17" s="255"/>
    </row>
    <row r="18" spans="1:24">
      <c r="A18" s="77">
        <v>8</v>
      </c>
      <c r="B18" s="256"/>
      <c r="C18" s="361" t="s">
        <v>781</v>
      </c>
      <c r="D18" s="361"/>
      <c r="E18" s="361"/>
      <c r="F18" s="361"/>
      <c r="G18" s="361"/>
      <c r="H18" s="361"/>
      <c r="I18" s="361"/>
      <c r="J18" s="361"/>
      <c r="K18" s="361"/>
      <c r="L18" s="361"/>
      <c r="M18" s="361"/>
      <c r="N18" s="361"/>
      <c r="O18" s="361"/>
      <c r="P18" s="361"/>
      <c r="Q18" s="880"/>
      <c r="R18" s="253"/>
      <c r="S18" s="473"/>
      <c r="T18" s="371"/>
      <c r="U18" s="371"/>
      <c r="V18" s="252"/>
      <c r="W18" s="256"/>
      <c r="X18" s="255"/>
    </row>
    <row r="19" spans="1:24">
      <c r="A19" s="77">
        <v>9</v>
      </c>
      <c r="B19" s="256"/>
      <c r="C19" s="361" t="s">
        <v>781</v>
      </c>
      <c r="D19" s="361"/>
      <c r="E19" s="361"/>
      <c r="F19" s="361"/>
      <c r="G19" s="361"/>
      <c r="H19" s="361"/>
      <c r="I19" s="361"/>
      <c r="J19" s="361"/>
      <c r="K19" s="361"/>
      <c r="L19" s="361"/>
      <c r="M19" s="361"/>
      <c r="N19" s="361"/>
      <c r="O19" s="361"/>
      <c r="P19" s="361"/>
      <c r="Q19" s="880"/>
      <c r="R19" s="253"/>
      <c r="S19" s="473"/>
      <c r="T19" s="371"/>
      <c r="U19" s="371"/>
      <c r="V19" s="252"/>
      <c r="W19" s="256"/>
      <c r="X19" s="255"/>
    </row>
    <row r="20" spans="1:24">
      <c r="A20" s="77">
        <v>10</v>
      </c>
      <c r="B20" s="256"/>
      <c r="C20" s="361" t="s">
        <v>781</v>
      </c>
      <c r="D20" s="361"/>
      <c r="E20" s="361"/>
      <c r="F20" s="361"/>
      <c r="G20" s="361"/>
      <c r="H20" s="361"/>
      <c r="I20" s="361"/>
      <c r="J20" s="361"/>
      <c r="K20" s="361"/>
      <c r="L20" s="361"/>
      <c r="M20" s="361"/>
      <c r="N20" s="361"/>
      <c r="O20" s="361"/>
      <c r="P20" s="361"/>
      <c r="Q20" s="765"/>
      <c r="R20" s="253"/>
      <c r="S20" s="473"/>
      <c r="T20" s="371"/>
      <c r="U20" s="371"/>
      <c r="V20" s="252"/>
      <c r="W20" s="256"/>
      <c r="X20" s="255"/>
    </row>
    <row r="21" spans="1:24">
      <c r="A21" s="77">
        <v>11</v>
      </c>
      <c r="B21" s="256"/>
      <c r="C21" s="361" t="s">
        <v>781</v>
      </c>
      <c r="D21" s="361"/>
      <c r="E21" s="361"/>
      <c r="F21" s="361"/>
      <c r="G21" s="361"/>
      <c r="H21" s="361"/>
      <c r="I21" s="361"/>
      <c r="J21" s="361"/>
      <c r="K21" s="361"/>
      <c r="L21" s="361"/>
      <c r="M21" s="361"/>
      <c r="N21" s="361"/>
      <c r="O21" s="361"/>
      <c r="P21" s="361"/>
      <c r="Q21" s="765"/>
      <c r="R21" s="253"/>
      <c r="S21" s="473"/>
      <c r="T21" s="371"/>
      <c r="U21" s="371"/>
      <c r="V21" s="252"/>
      <c r="W21" s="256"/>
      <c r="X21" s="255"/>
    </row>
    <row r="22" spans="1:24" s="256" customFormat="1" ht="14.45" customHeight="1">
      <c r="A22" s="77">
        <v>12</v>
      </c>
      <c r="C22" s="479"/>
      <c r="D22" s="479"/>
      <c r="E22" s="479"/>
      <c r="F22" s="479"/>
      <c r="G22" s="479"/>
      <c r="H22" s="479"/>
      <c r="I22" s="479"/>
      <c r="J22" s="479"/>
      <c r="K22" s="479"/>
      <c r="L22" s="479"/>
      <c r="M22" s="479"/>
      <c r="N22" s="479"/>
      <c r="O22" s="479"/>
      <c r="P22" s="479"/>
      <c r="Q22" s="877">
        <f>SUM(Q12:Q21)</f>
        <v>1693789.3568164972</v>
      </c>
      <c r="R22" s="480" t="s">
        <v>640</v>
      </c>
      <c r="S22" s="878">
        <f>'Exhibit 6'!$D$61</f>
        <v>0.12581649289635913</v>
      </c>
      <c r="T22" s="877">
        <f>Q22*S22</f>
        <v>213106.63657983151</v>
      </c>
      <c r="U22" s="371"/>
      <c r="V22" s="252"/>
    </row>
    <row r="23" spans="1:24" s="256" customFormat="1">
      <c r="A23" s="77">
        <v>13</v>
      </c>
      <c r="B23" s="256" t="s">
        <v>1178</v>
      </c>
      <c r="C23" s="479"/>
      <c r="D23" s="479"/>
      <c r="E23" s="479"/>
      <c r="F23" s="479"/>
      <c r="G23" s="479"/>
      <c r="H23" s="479"/>
      <c r="I23" s="479"/>
      <c r="J23" s="479"/>
      <c r="K23" s="479"/>
      <c r="L23" s="479"/>
      <c r="M23" s="479"/>
      <c r="N23" s="479"/>
      <c r="O23" s="479"/>
      <c r="P23" s="479"/>
      <c r="Q23" s="463"/>
      <c r="R23" s="253"/>
      <c r="S23" s="473"/>
      <c r="T23" s="371"/>
      <c r="U23" s="371"/>
      <c r="V23" s="252"/>
    </row>
    <row r="24" spans="1:24">
      <c r="A24" s="77">
        <v>14</v>
      </c>
      <c r="B24" s="256"/>
      <c r="C24" s="361" t="s">
        <v>1179</v>
      </c>
      <c r="D24" s="904">
        <v>0</v>
      </c>
      <c r="E24" s="904">
        <v>0</v>
      </c>
      <c r="F24" s="904">
        <v>0</v>
      </c>
      <c r="G24" s="904">
        <v>0</v>
      </c>
      <c r="H24" s="904">
        <v>700024.45646209642</v>
      </c>
      <c r="I24" s="904">
        <v>646726.05315331614</v>
      </c>
      <c r="J24" s="904">
        <v>641252.00442922907</v>
      </c>
      <c r="K24" s="904">
        <v>539379.65861204802</v>
      </c>
      <c r="L24" s="904">
        <v>518060.88223980967</v>
      </c>
      <c r="M24" s="904">
        <v>589928.73764105083</v>
      </c>
      <c r="N24" s="904">
        <v>765355.59290185885</v>
      </c>
      <c r="O24" s="904">
        <v>777386.56580996804</v>
      </c>
      <c r="P24" s="904">
        <v>671993.19017977733</v>
      </c>
      <c r="Q24" s="817">
        <f t="shared" ref="Q24" si="1">AVERAGE(D24:P24)</f>
        <v>450008.24164839648</v>
      </c>
      <c r="R24" s="253"/>
      <c r="S24" s="473"/>
      <c r="T24" s="371"/>
      <c r="U24" s="371"/>
      <c r="V24" s="252"/>
      <c r="W24" s="256"/>
      <c r="X24" s="255"/>
    </row>
    <row r="25" spans="1:24">
      <c r="A25" s="77">
        <v>15</v>
      </c>
      <c r="B25" s="256"/>
      <c r="C25" s="361" t="s">
        <v>781</v>
      </c>
      <c r="D25" s="361"/>
      <c r="E25" s="361"/>
      <c r="F25" s="361"/>
      <c r="G25" s="361"/>
      <c r="H25" s="361"/>
      <c r="I25" s="361"/>
      <c r="J25" s="361"/>
      <c r="K25" s="361"/>
      <c r="L25" s="361"/>
      <c r="M25" s="361"/>
      <c r="N25" s="361"/>
      <c r="O25" s="361"/>
      <c r="P25" s="361"/>
      <c r="Q25" s="765"/>
      <c r="R25" s="253"/>
      <c r="S25" s="473"/>
      <c r="T25" s="371"/>
      <c r="U25" s="371"/>
      <c r="V25" s="252"/>
      <c r="W25" s="256"/>
      <c r="X25" s="255"/>
    </row>
    <row r="26" spans="1:24">
      <c r="A26" s="77">
        <v>16</v>
      </c>
      <c r="B26" s="256"/>
      <c r="C26" s="361" t="s">
        <v>781</v>
      </c>
      <c r="D26" s="361"/>
      <c r="E26" s="361"/>
      <c r="F26" s="361"/>
      <c r="G26" s="361"/>
      <c r="H26" s="361"/>
      <c r="I26" s="361"/>
      <c r="J26" s="361"/>
      <c r="K26" s="361"/>
      <c r="L26" s="361"/>
      <c r="M26" s="361"/>
      <c r="N26" s="361"/>
      <c r="O26" s="361"/>
      <c r="P26" s="361"/>
      <c r="Q26" s="765"/>
      <c r="R26" s="253"/>
      <c r="S26" s="473"/>
      <c r="T26" s="371"/>
      <c r="U26" s="371"/>
      <c r="V26" s="252"/>
      <c r="W26" s="256"/>
      <c r="X26" s="255"/>
    </row>
    <row r="27" spans="1:24">
      <c r="A27" s="77">
        <v>17</v>
      </c>
      <c r="B27" s="256"/>
      <c r="C27" s="361" t="s">
        <v>781</v>
      </c>
      <c r="D27" s="361"/>
      <c r="E27" s="361"/>
      <c r="F27" s="361"/>
      <c r="G27" s="361"/>
      <c r="H27" s="361"/>
      <c r="I27" s="361"/>
      <c r="J27" s="361"/>
      <c r="K27" s="361"/>
      <c r="L27" s="361"/>
      <c r="M27" s="361"/>
      <c r="N27" s="361"/>
      <c r="O27" s="361"/>
      <c r="P27" s="361"/>
      <c r="Q27" s="765"/>
      <c r="R27" s="253"/>
      <c r="S27" s="473"/>
      <c r="T27" s="371"/>
      <c r="U27" s="371"/>
      <c r="V27" s="252"/>
      <c r="W27" s="256"/>
      <c r="X27" s="255"/>
    </row>
    <row r="28" spans="1:24">
      <c r="A28" s="77">
        <v>18</v>
      </c>
      <c r="B28" s="256"/>
      <c r="C28" s="361" t="s">
        <v>781</v>
      </c>
      <c r="D28" s="361"/>
      <c r="E28" s="361"/>
      <c r="F28" s="361"/>
      <c r="G28" s="361"/>
      <c r="H28" s="361"/>
      <c r="I28" s="361"/>
      <c r="J28" s="361"/>
      <c r="K28" s="361"/>
      <c r="L28" s="361"/>
      <c r="M28" s="361"/>
      <c r="N28" s="361"/>
      <c r="O28" s="361"/>
      <c r="P28" s="361"/>
      <c r="Q28" s="765"/>
      <c r="R28" s="253"/>
      <c r="S28" s="473"/>
      <c r="T28" s="371"/>
      <c r="U28" s="371"/>
      <c r="V28" s="252"/>
      <c r="W28" s="256"/>
      <c r="X28" s="255"/>
    </row>
    <row r="29" spans="1:24">
      <c r="A29" s="77">
        <v>19</v>
      </c>
      <c r="B29" s="256"/>
      <c r="C29" s="361" t="s">
        <v>781</v>
      </c>
      <c r="D29" s="361"/>
      <c r="E29" s="361"/>
      <c r="F29" s="361"/>
      <c r="G29" s="361"/>
      <c r="H29" s="361"/>
      <c r="I29" s="361"/>
      <c r="J29" s="361"/>
      <c r="K29" s="361"/>
      <c r="L29" s="361"/>
      <c r="M29" s="361"/>
      <c r="N29" s="361"/>
      <c r="O29" s="361"/>
      <c r="P29" s="361"/>
      <c r="Q29" s="765"/>
      <c r="R29" s="253"/>
      <c r="S29" s="473"/>
      <c r="T29" s="371"/>
      <c r="U29" s="371"/>
      <c r="V29" s="252"/>
      <c r="W29" s="256"/>
      <c r="X29" s="255"/>
    </row>
    <row r="30" spans="1:24">
      <c r="A30" s="77">
        <v>20</v>
      </c>
      <c r="B30" s="256"/>
      <c r="C30" s="361" t="s">
        <v>781</v>
      </c>
      <c r="D30" s="361"/>
      <c r="E30" s="361"/>
      <c r="F30" s="361"/>
      <c r="G30" s="361"/>
      <c r="H30" s="361"/>
      <c r="I30" s="361"/>
      <c r="J30" s="361"/>
      <c r="K30" s="361"/>
      <c r="L30" s="361"/>
      <c r="M30" s="361"/>
      <c r="N30" s="361"/>
      <c r="O30" s="361"/>
      <c r="P30" s="361"/>
      <c r="Q30" s="765"/>
      <c r="R30" s="253"/>
      <c r="S30" s="473"/>
      <c r="T30" s="371"/>
      <c r="U30" s="371"/>
      <c r="V30" s="252"/>
      <c r="W30" s="256"/>
      <c r="X30" s="255"/>
    </row>
    <row r="31" spans="1:24">
      <c r="A31" s="77">
        <v>21</v>
      </c>
      <c r="B31" s="256"/>
      <c r="C31" s="361" t="s">
        <v>781</v>
      </c>
      <c r="D31" s="361"/>
      <c r="E31" s="361"/>
      <c r="F31" s="361"/>
      <c r="G31" s="361"/>
      <c r="H31" s="361"/>
      <c r="I31" s="361"/>
      <c r="J31" s="361"/>
      <c r="K31" s="361"/>
      <c r="L31" s="361"/>
      <c r="M31" s="361"/>
      <c r="N31" s="361"/>
      <c r="O31" s="361"/>
      <c r="P31" s="361"/>
      <c r="Q31" s="765"/>
      <c r="R31" s="253"/>
      <c r="S31" s="473"/>
      <c r="T31" s="371"/>
      <c r="U31" s="371"/>
      <c r="V31" s="252"/>
      <c r="W31" s="256"/>
      <c r="X31" s="255"/>
    </row>
    <row r="32" spans="1:24">
      <c r="A32" s="77">
        <v>22</v>
      </c>
      <c r="B32" s="256"/>
      <c r="C32" s="361" t="s">
        <v>781</v>
      </c>
      <c r="D32" s="361"/>
      <c r="E32" s="361"/>
      <c r="F32" s="361"/>
      <c r="G32" s="361"/>
      <c r="H32" s="361"/>
      <c r="I32" s="361"/>
      <c r="J32" s="361"/>
      <c r="K32" s="361"/>
      <c r="L32" s="361"/>
      <c r="M32" s="361"/>
      <c r="N32" s="361"/>
      <c r="O32" s="361"/>
      <c r="P32" s="361"/>
      <c r="Q32" s="765"/>
      <c r="R32" s="253"/>
      <c r="S32" s="473"/>
      <c r="T32" s="371"/>
      <c r="U32" s="371"/>
      <c r="V32" s="252"/>
      <c r="W32" s="256"/>
      <c r="X32" s="255"/>
    </row>
    <row r="33" spans="1:24">
      <c r="A33" s="77">
        <v>23</v>
      </c>
      <c r="B33" s="256"/>
      <c r="C33" s="361" t="s">
        <v>781</v>
      </c>
      <c r="D33" s="361"/>
      <c r="E33" s="361"/>
      <c r="F33" s="361"/>
      <c r="G33" s="361"/>
      <c r="H33" s="361"/>
      <c r="I33" s="361"/>
      <c r="J33" s="361"/>
      <c r="K33" s="361"/>
      <c r="L33" s="361"/>
      <c r="M33" s="361"/>
      <c r="N33" s="361"/>
      <c r="O33" s="361"/>
      <c r="P33" s="361"/>
      <c r="Q33" s="765"/>
      <c r="R33" s="253"/>
      <c r="S33" s="473"/>
      <c r="T33" s="371"/>
      <c r="U33" s="371"/>
      <c r="V33" s="252"/>
      <c r="W33" s="256"/>
      <c r="X33" s="255"/>
    </row>
    <row r="34" spans="1:24" s="256" customFormat="1" ht="14.45" customHeight="1">
      <c r="A34" s="77">
        <v>24</v>
      </c>
      <c r="C34" s="479"/>
      <c r="D34" s="479"/>
      <c r="E34" s="479"/>
      <c r="F34" s="479"/>
      <c r="G34" s="479"/>
      <c r="H34" s="479"/>
      <c r="I34" s="479"/>
      <c r="J34" s="479"/>
      <c r="K34" s="479"/>
      <c r="L34" s="479"/>
      <c r="M34" s="479"/>
      <c r="N34" s="479"/>
      <c r="O34" s="479"/>
      <c r="P34" s="479"/>
      <c r="Q34" s="877">
        <f>SUM(Q24:Q33)</f>
        <v>450008.24164839648</v>
      </c>
      <c r="R34" s="481" t="s">
        <v>641</v>
      </c>
      <c r="S34" s="878">
        <f>'Exhibit 6'!$D$51</f>
        <v>0.35896487525725679</v>
      </c>
      <c r="T34" s="877">
        <f>Q34*S34</f>
        <v>161537.1523280541</v>
      </c>
      <c r="U34" s="371"/>
      <c r="V34" s="252"/>
    </row>
    <row r="35" spans="1:24" s="256" customFormat="1">
      <c r="A35" s="77">
        <v>25</v>
      </c>
      <c r="C35" s="479"/>
      <c r="D35" s="479"/>
      <c r="E35" s="479"/>
      <c r="F35" s="479"/>
      <c r="G35" s="479"/>
      <c r="H35" s="479"/>
      <c r="I35" s="479"/>
      <c r="J35" s="479"/>
      <c r="K35" s="479"/>
      <c r="L35" s="479"/>
      <c r="M35" s="479"/>
      <c r="N35" s="479"/>
      <c r="O35" s="479"/>
      <c r="P35" s="479"/>
      <c r="Q35" s="463"/>
      <c r="R35" s="253"/>
      <c r="S35" s="473"/>
      <c r="T35" s="371"/>
      <c r="U35" s="371"/>
      <c r="V35" s="252"/>
    </row>
    <row r="36" spans="1:24">
      <c r="A36" s="77">
        <v>26</v>
      </c>
      <c r="B36" s="256"/>
      <c r="C36" s="361" t="s">
        <v>781</v>
      </c>
      <c r="D36" s="361"/>
      <c r="E36" s="361"/>
      <c r="F36" s="361"/>
      <c r="G36" s="361"/>
      <c r="H36" s="361"/>
      <c r="I36" s="361"/>
      <c r="J36" s="361"/>
      <c r="K36" s="361"/>
      <c r="L36" s="361"/>
      <c r="M36" s="361"/>
      <c r="N36" s="361"/>
      <c r="O36" s="361"/>
      <c r="P36" s="361"/>
      <c r="Q36" s="765"/>
      <c r="R36" s="253"/>
      <c r="S36" s="473"/>
      <c r="T36" s="371"/>
      <c r="U36" s="371"/>
      <c r="V36" s="252"/>
      <c r="W36" s="256"/>
      <c r="X36" s="255"/>
    </row>
    <row r="37" spans="1:24">
      <c r="A37" s="77">
        <v>27</v>
      </c>
      <c r="B37" s="256"/>
      <c r="C37" s="361" t="s">
        <v>781</v>
      </c>
      <c r="D37" s="361"/>
      <c r="E37" s="361"/>
      <c r="F37" s="361"/>
      <c r="G37" s="361"/>
      <c r="H37" s="361"/>
      <c r="I37" s="361"/>
      <c r="J37" s="361"/>
      <c r="K37" s="361"/>
      <c r="L37" s="361"/>
      <c r="M37" s="361"/>
      <c r="N37" s="361"/>
      <c r="O37" s="361"/>
      <c r="P37" s="361"/>
      <c r="Q37" s="765"/>
      <c r="R37" s="253"/>
      <c r="S37" s="473"/>
      <c r="T37" s="371"/>
      <c r="U37" s="371"/>
      <c r="V37" s="252"/>
      <c r="W37" s="256"/>
      <c r="X37" s="255"/>
    </row>
    <row r="38" spans="1:24">
      <c r="A38" s="77">
        <v>28</v>
      </c>
      <c r="B38" s="256"/>
      <c r="C38" s="361" t="s">
        <v>781</v>
      </c>
      <c r="D38" s="361"/>
      <c r="E38" s="361"/>
      <c r="F38" s="361"/>
      <c r="G38" s="361"/>
      <c r="H38" s="361"/>
      <c r="I38" s="361"/>
      <c r="J38" s="361"/>
      <c r="K38" s="361"/>
      <c r="L38" s="361"/>
      <c r="M38" s="361"/>
      <c r="N38" s="361"/>
      <c r="O38" s="361"/>
      <c r="P38" s="361"/>
      <c r="Q38" s="765"/>
      <c r="R38" s="253"/>
      <c r="S38" s="473"/>
      <c r="T38" s="371"/>
      <c r="U38" s="371"/>
      <c r="V38" s="252"/>
      <c r="W38" s="256"/>
      <c r="X38" s="255"/>
    </row>
    <row r="39" spans="1:24">
      <c r="A39" s="77">
        <v>29</v>
      </c>
      <c r="B39" s="256"/>
      <c r="C39" s="361" t="s">
        <v>781</v>
      </c>
      <c r="D39" s="361"/>
      <c r="E39" s="361"/>
      <c r="F39" s="361"/>
      <c r="G39" s="361"/>
      <c r="H39" s="361"/>
      <c r="I39" s="361"/>
      <c r="J39" s="361"/>
      <c r="K39" s="361"/>
      <c r="L39" s="361"/>
      <c r="M39" s="361"/>
      <c r="N39" s="361"/>
      <c r="O39" s="361"/>
      <c r="P39" s="361"/>
      <c r="Q39" s="765"/>
      <c r="R39" s="253"/>
      <c r="S39" s="473"/>
      <c r="T39" s="371"/>
      <c r="U39" s="371"/>
      <c r="V39" s="252"/>
      <c r="W39" s="256"/>
      <c r="X39" s="255"/>
    </row>
    <row r="40" spans="1:24">
      <c r="A40" s="77">
        <v>30</v>
      </c>
      <c r="B40" s="256"/>
      <c r="C40" s="361" t="s">
        <v>781</v>
      </c>
      <c r="D40" s="361"/>
      <c r="E40" s="361"/>
      <c r="F40" s="361"/>
      <c r="G40" s="361"/>
      <c r="H40" s="361"/>
      <c r="I40" s="361"/>
      <c r="J40" s="361"/>
      <c r="K40" s="361"/>
      <c r="L40" s="361"/>
      <c r="M40" s="361"/>
      <c r="N40" s="361"/>
      <c r="O40" s="361"/>
      <c r="P40" s="361"/>
      <c r="Q40" s="765"/>
      <c r="R40" s="253"/>
      <c r="S40" s="473"/>
      <c r="T40" s="371"/>
      <c r="U40" s="371"/>
      <c r="V40" s="252"/>
      <c r="W40" s="256"/>
      <c r="X40" s="255"/>
    </row>
    <row r="41" spans="1:24">
      <c r="A41" s="77">
        <v>31</v>
      </c>
      <c r="B41" s="256"/>
      <c r="C41" s="361" t="s">
        <v>781</v>
      </c>
      <c r="D41" s="361"/>
      <c r="E41" s="361"/>
      <c r="F41" s="361"/>
      <c r="G41" s="361"/>
      <c r="H41" s="361"/>
      <c r="I41" s="361"/>
      <c r="J41" s="361"/>
      <c r="K41" s="361"/>
      <c r="L41" s="361"/>
      <c r="M41" s="361"/>
      <c r="N41" s="361"/>
      <c r="O41" s="361"/>
      <c r="P41" s="361"/>
      <c r="Q41" s="765"/>
      <c r="R41" s="253"/>
      <c r="S41" s="473"/>
      <c r="T41" s="371"/>
      <c r="U41" s="371"/>
      <c r="V41" s="252"/>
      <c r="W41" s="256"/>
      <c r="X41" s="255"/>
    </row>
    <row r="42" spans="1:24">
      <c r="A42" s="77">
        <v>32</v>
      </c>
      <c r="B42" s="256"/>
      <c r="C42" s="361" t="s">
        <v>781</v>
      </c>
      <c r="D42" s="361"/>
      <c r="E42" s="361"/>
      <c r="F42" s="361"/>
      <c r="G42" s="361"/>
      <c r="H42" s="361"/>
      <c r="I42" s="361"/>
      <c r="J42" s="361"/>
      <c r="K42" s="361"/>
      <c r="L42" s="361"/>
      <c r="M42" s="361"/>
      <c r="N42" s="361"/>
      <c r="O42" s="361"/>
      <c r="P42" s="361"/>
      <c r="Q42" s="765"/>
      <c r="R42" s="253"/>
      <c r="S42" s="473"/>
      <c r="T42" s="371"/>
      <c r="U42" s="371"/>
      <c r="V42" s="252"/>
      <c r="W42" s="256"/>
      <c r="X42" s="255"/>
    </row>
    <row r="43" spans="1:24">
      <c r="A43" s="77">
        <v>33</v>
      </c>
      <c r="B43" s="256"/>
      <c r="C43" s="361" t="s">
        <v>781</v>
      </c>
      <c r="D43" s="361"/>
      <c r="E43" s="361"/>
      <c r="F43" s="361"/>
      <c r="G43" s="361"/>
      <c r="H43" s="361"/>
      <c r="I43" s="361"/>
      <c r="J43" s="361"/>
      <c r="K43" s="361"/>
      <c r="L43" s="361"/>
      <c r="M43" s="361"/>
      <c r="N43" s="361"/>
      <c r="O43" s="361"/>
      <c r="P43" s="361"/>
      <c r="Q43" s="765"/>
      <c r="R43" s="253"/>
      <c r="S43" s="473"/>
      <c r="T43" s="371"/>
      <c r="U43" s="371"/>
      <c r="V43" s="252"/>
      <c r="W43" s="256"/>
      <c r="X43" s="255"/>
    </row>
    <row r="44" spans="1:24">
      <c r="A44" s="77">
        <v>34</v>
      </c>
      <c r="B44" s="256"/>
      <c r="C44" s="361" t="s">
        <v>781</v>
      </c>
      <c r="D44" s="361"/>
      <c r="E44" s="361"/>
      <c r="F44" s="361"/>
      <c r="G44" s="361"/>
      <c r="H44" s="361"/>
      <c r="I44" s="361"/>
      <c r="J44" s="361"/>
      <c r="K44" s="361"/>
      <c r="L44" s="361"/>
      <c r="M44" s="361"/>
      <c r="N44" s="361"/>
      <c r="O44" s="361"/>
      <c r="P44" s="361"/>
      <c r="Q44" s="765"/>
      <c r="R44" s="253"/>
      <c r="S44" s="473"/>
      <c r="T44" s="371"/>
      <c r="U44" s="371"/>
      <c r="V44" s="252"/>
      <c r="W44" s="256"/>
      <c r="X44" s="255"/>
    </row>
    <row r="45" spans="1:24">
      <c r="A45" s="77">
        <v>35</v>
      </c>
      <c r="B45" s="256"/>
      <c r="C45" s="361" t="s">
        <v>781</v>
      </c>
      <c r="D45" s="361"/>
      <c r="E45" s="361"/>
      <c r="F45" s="361"/>
      <c r="G45" s="361"/>
      <c r="H45" s="361"/>
      <c r="I45" s="361"/>
      <c r="J45" s="361"/>
      <c r="K45" s="361"/>
      <c r="L45" s="361"/>
      <c r="M45" s="361"/>
      <c r="N45" s="361"/>
      <c r="O45" s="361"/>
      <c r="P45" s="361"/>
      <c r="Q45" s="765"/>
      <c r="R45" s="253"/>
      <c r="S45" s="473"/>
      <c r="T45" s="371"/>
      <c r="U45" s="371"/>
      <c r="V45" s="252"/>
      <c r="W45" s="256"/>
      <c r="X45" s="255"/>
    </row>
    <row r="46" spans="1:24" s="256" customFormat="1" ht="14.45" customHeight="1">
      <c r="A46" s="77">
        <v>36</v>
      </c>
      <c r="C46" s="479"/>
      <c r="D46" s="479"/>
      <c r="E46" s="479"/>
      <c r="F46" s="479"/>
      <c r="G46" s="479"/>
      <c r="H46" s="479"/>
      <c r="I46" s="479"/>
      <c r="J46" s="479"/>
      <c r="K46" s="479"/>
      <c r="L46" s="479"/>
      <c r="M46" s="479"/>
      <c r="N46" s="479"/>
      <c r="O46" s="479"/>
      <c r="P46" s="479"/>
      <c r="Q46" s="877">
        <f>SUM(Q36:Q45)</f>
        <v>0</v>
      </c>
      <c r="R46" s="481" t="s">
        <v>642</v>
      </c>
      <c r="S46" s="878">
        <f>'Exhibit 6'!$D$55</f>
        <v>0.29969181559056945</v>
      </c>
      <c r="T46" s="877">
        <f>Q46*S46</f>
        <v>0</v>
      </c>
      <c r="U46" s="371"/>
      <c r="V46" s="252"/>
    </row>
    <row r="47" spans="1:24">
      <c r="A47" s="77">
        <v>37</v>
      </c>
      <c r="B47" s="256"/>
      <c r="C47" s="482" t="s">
        <v>126</v>
      </c>
      <c r="D47" s="482"/>
      <c r="E47" s="482"/>
      <c r="F47" s="482"/>
      <c r="G47" s="482"/>
      <c r="H47" s="482"/>
      <c r="I47" s="482"/>
      <c r="J47" s="482"/>
      <c r="K47" s="482"/>
      <c r="L47" s="482"/>
      <c r="M47" s="482"/>
      <c r="N47" s="482"/>
      <c r="O47" s="482"/>
      <c r="P47" s="482"/>
      <c r="Q47" s="483"/>
      <c r="R47" s="237"/>
      <c r="S47" s="484"/>
      <c r="T47" s="879">
        <f>SUM(T22,T34,T46)</f>
        <v>374643.78890788561</v>
      </c>
      <c r="U47" s="463"/>
      <c r="V47" s="252" t="s">
        <v>643</v>
      </c>
      <c r="W47" s="256"/>
      <c r="X47" s="255"/>
    </row>
    <row r="48" spans="1:24">
      <c r="A48" s="77">
        <v>38</v>
      </c>
      <c r="B48" s="256"/>
      <c r="C48" s="256"/>
      <c r="D48" s="256"/>
      <c r="E48" s="256"/>
      <c r="F48" s="256"/>
      <c r="G48" s="256"/>
      <c r="H48" s="256"/>
      <c r="I48" s="256"/>
      <c r="J48" s="256"/>
      <c r="K48" s="256"/>
      <c r="L48" s="256"/>
      <c r="M48" s="256"/>
      <c r="N48" s="256"/>
      <c r="O48" s="256"/>
      <c r="P48" s="256"/>
      <c r="Q48" s="463"/>
      <c r="R48" s="253"/>
      <c r="S48" s="485"/>
      <c r="T48" s="463"/>
      <c r="U48" s="463"/>
      <c r="V48" s="252"/>
      <c r="W48" s="256"/>
      <c r="X48" s="255"/>
    </row>
    <row r="49" spans="1:36">
      <c r="A49" s="77">
        <v>39</v>
      </c>
      <c r="B49" s="256" t="s">
        <v>277</v>
      </c>
      <c r="C49" s="256"/>
      <c r="D49" s="256"/>
      <c r="E49" s="256"/>
      <c r="F49" s="256"/>
      <c r="G49" s="256"/>
      <c r="H49" s="256"/>
      <c r="I49" s="256"/>
      <c r="J49" s="256"/>
      <c r="K49" s="256"/>
      <c r="L49" s="256"/>
      <c r="M49" s="256"/>
      <c r="N49" s="256"/>
      <c r="O49" s="256"/>
      <c r="P49" s="256"/>
      <c r="Q49" s="371"/>
      <c r="R49" s="253"/>
      <c r="S49" s="473"/>
      <c r="T49" s="371"/>
      <c r="U49" s="371"/>
      <c r="V49" s="252" t="s">
        <v>275</v>
      </c>
      <c r="W49" s="256"/>
      <c r="X49" s="255"/>
    </row>
    <row r="50" spans="1:36">
      <c r="A50" s="77">
        <v>40</v>
      </c>
      <c r="B50" s="256"/>
      <c r="C50" s="361" t="s">
        <v>781</v>
      </c>
      <c r="D50" s="362"/>
      <c r="E50" s="362"/>
      <c r="F50" s="362"/>
      <c r="G50" s="362"/>
      <c r="H50" s="362"/>
      <c r="I50" s="362"/>
      <c r="J50" s="362"/>
      <c r="K50" s="362"/>
      <c r="L50" s="362"/>
      <c r="M50" s="362"/>
      <c r="N50" s="362"/>
      <c r="O50" s="362"/>
      <c r="P50" s="362"/>
      <c r="Q50" s="817"/>
      <c r="R50" s="465"/>
      <c r="S50" s="475"/>
      <c r="T50" s="371"/>
      <c r="U50" s="371"/>
      <c r="V50" s="252"/>
      <c r="W50" s="256"/>
      <c r="X50" s="255"/>
    </row>
    <row r="51" spans="1:36">
      <c r="A51" s="77">
        <v>41</v>
      </c>
      <c r="B51" s="256"/>
      <c r="C51" s="361" t="s">
        <v>781</v>
      </c>
      <c r="D51" s="362"/>
      <c r="E51" s="362"/>
      <c r="F51" s="362"/>
      <c r="G51" s="362"/>
      <c r="H51" s="362"/>
      <c r="I51" s="362"/>
      <c r="J51" s="362"/>
      <c r="K51" s="362"/>
      <c r="L51" s="362"/>
      <c r="M51" s="362"/>
      <c r="N51" s="362"/>
      <c r="O51" s="362"/>
      <c r="P51" s="362"/>
      <c r="Q51" s="765"/>
      <c r="R51" s="477"/>
      <c r="S51" s="475"/>
      <c r="T51" s="371"/>
      <c r="U51" s="371"/>
      <c r="V51" s="252"/>
      <c r="W51" s="256"/>
      <c r="X51" s="255"/>
    </row>
    <row r="52" spans="1:36">
      <c r="A52" s="77">
        <v>42</v>
      </c>
      <c r="B52" s="256"/>
      <c r="C52" s="361" t="s">
        <v>781</v>
      </c>
      <c r="D52" s="362"/>
      <c r="E52" s="362"/>
      <c r="F52" s="362"/>
      <c r="G52" s="362"/>
      <c r="H52" s="362"/>
      <c r="I52" s="362"/>
      <c r="J52" s="362"/>
      <c r="K52" s="362"/>
      <c r="L52" s="362"/>
      <c r="M52" s="362"/>
      <c r="N52" s="362"/>
      <c r="O52" s="362"/>
      <c r="P52" s="362"/>
      <c r="Q52" s="765"/>
      <c r="R52" s="477"/>
      <c r="S52" s="475"/>
      <c r="T52" s="371"/>
      <c r="U52" s="371"/>
      <c r="V52" s="252"/>
      <c r="W52" s="256"/>
      <c r="X52" s="255"/>
    </row>
    <row r="53" spans="1:36">
      <c r="A53" s="77">
        <v>43</v>
      </c>
      <c r="B53" s="256"/>
      <c r="C53" s="361" t="s">
        <v>781</v>
      </c>
      <c r="D53" s="362"/>
      <c r="E53" s="362"/>
      <c r="F53" s="362"/>
      <c r="G53" s="362"/>
      <c r="H53" s="362"/>
      <c r="I53" s="362"/>
      <c r="J53" s="362"/>
      <c r="K53" s="362"/>
      <c r="L53" s="362"/>
      <c r="M53" s="362"/>
      <c r="N53" s="362"/>
      <c r="O53" s="362"/>
      <c r="P53" s="362"/>
      <c r="Q53" s="880"/>
      <c r="R53" s="256"/>
      <c r="S53" s="256"/>
      <c r="T53" s="371"/>
      <c r="U53" s="371"/>
      <c r="V53" s="252"/>
      <c r="W53" s="256"/>
      <c r="X53" s="255"/>
    </row>
    <row r="54" spans="1:36">
      <c r="A54" s="77">
        <v>44</v>
      </c>
      <c r="B54" s="256"/>
      <c r="C54" s="361" t="s">
        <v>781</v>
      </c>
      <c r="D54" s="361"/>
      <c r="E54" s="361"/>
      <c r="F54" s="361"/>
      <c r="G54" s="361"/>
      <c r="H54" s="361"/>
      <c r="I54" s="361"/>
      <c r="J54" s="361"/>
      <c r="K54" s="361"/>
      <c r="L54" s="361"/>
      <c r="M54" s="361"/>
      <c r="N54" s="361"/>
      <c r="O54" s="361"/>
      <c r="P54" s="361"/>
      <c r="Q54" s="880"/>
      <c r="R54" s="253"/>
      <c r="S54" s="473"/>
      <c r="T54" s="371"/>
      <c r="U54" s="371"/>
      <c r="V54" s="252"/>
      <c r="W54" s="256"/>
      <c r="X54" s="255"/>
    </row>
    <row r="55" spans="1:36">
      <c r="A55" s="77">
        <v>45</v>
      </c>
      <c r="B55" s="256"/>
      <c r="C55" s="361" t="s">
        <v>781</v>
      </c>
      <c r="D55" s="361"/>
      <c r="E55" s="361"/>
      <c r="F55" s="361"/>
      <c r="G55" s="361"/>
      <c r="H55" s="361"/>
      <c r="I55" s="361"/>
      <c r="J55" s="361"/>
      <c r="K55" s="361"/>
      <c r="L55" s="361"/>
      <c r="M55" s="361"/>
      <c r="N55" s="361"/>
      <c r="O55" s="361"/>
      <c r="P55" s="361"/>
      <c r="Q55" s="880"/>
      <c r="R55" s="253"/>
      <c r="S55" s="473"/>
      <c r="T55" s="371"/>
      <c r="U55" s="371"/>
      <c r="V55" s="252"/>
      <c r="W55" s="256"/>
      <c r="X55" s="255"/>
    </row>
    <row r="56" spans="1:36">
      <c r="A56" s="77">
        <v>46</v>
      </c>
      <c r="B56" s="256"/>
      <c r="C56" s="361" t="s">
        <v>781</v>
      </c>
      <c r="D56" s="361"/>
      <c r="E56" s="361"/>
      <c r="F56" s="361"/>
      <c r="G56" s="361"/>
      <c r="H56" s="361"/>
      <c r="I56" s="361"/>
      <c r="J56" s="361"/>
      <c r="K56" s="361"/>
      <c r="L56" s="361"/>
      <c r="M56" s="361"/>
      <c r="N56" s="361"/>
      <c r="O56" s="361"/>
      <c r="P56" s="361"/>
      <c r="Q56" s="880"/>
      <c r="R56" s="253"/>
      <c r="S56" s="473"/>
      <c r="T56" s="371"/>
      <c r="U56" s="371"/>
      <c r="V56" s="252"/>
      <c r="W56" s="256"/>
      <c r="X56" s="255"/>
    </row>
    <row r="57" spans="1:36">
      <c r="A57" s="77">
        <v>47</v>
      </c>
      <c r="B57" s="256"/>
      <c r="C57" s="361" t="s">
        <v>781</v>
      </c>
      <c r="D57" s="558"/>
      <c r="E57" s="558"/>
      <c r="F57" s="558"/>
      <c r="G57" s="558"/>
      <c r="H57" s="558"/>
      <c r="I57" s="558"/>
      <c r="J57" s="558"/>
      <c r="K57" s="558"/>
      <c r="L57" s="558"/>
      <c r="M57" s="558"/>
      <c r="N57" s="558"/>
      <c r="O57" s="558"/>
      <c r="P57" s="558"/>
      <c r="Q57" s="881"/>
      <c r="R57" s="253"/>
      <c r="S57" s="473"/>
      <c r="T57" s="371"/>
      <c r="U57" s="371"/>
      <c r="V57" s="252"/>
      <c r="W57" s="256"/>
      <c r="X57" s="255"/>
    </row>
    <row r="58" spans="1:36">
      <c r="A58" s="77">
        <v>48</v>
      </c>
      <c r="B58" s="256"/>
      <c r="C58" s="361" t="s">
        <v>781</v>
      </c>
      <c r="D58" s="361"/>
      <c r="E58" s="361"/>
      <c r="F58" s="361"/>
      <c r="G58" s="361"/>
      <c r="H58" s="361"/>
      <c r="I58" s="361"/>
      <c r="J58" s="361"/>
      <c r="K58" s="361"/>
      <c r="L58" s="361"/>
      <c r="M58" s="361"/>
      <c r="N58" s="361"/>
      <c r="O58" s="361"/>
      <c r="P58" s="361"/>
      <c r="Q58" s="765"/>
      <c r="R58" s="253"/>
      <c r="S58" s="473"/>
      <c r="T58" s="371"/>
      <c r="U58" s="371"/>
      <c r="V58" s="252"/>
      <c r="W58" s="256"/>
      <c r="X58" s="255"/>
    </row>
    <row r="59" spans="1:36">
      <c r="A59" s="77">
        <v>49</v>
      </c>
      <c r="B59" s="256"/>
      <c r="C59" s="361" t="s">
        <v>781</v>
      </c>
      <c r="D59" s="538"/>
      <c r="E59" s="538"/>
      <c r="F59" s="538"/>
      <c r="G59" s="538"/>
      <c r="H59" s="538"/>
      <c r="I59" s="538"/>
      <c r="J59" s="538"/>
      <c r="K59" s="538"/>
      <c r="L59" s="538"/>
      <c r="M59" s="538"/>
      <c r="N59" s="538"/>
      <c r="O59" s="538"/>
      <c r="P59" s="538"/>
      <c r="Q59" s="765"/>
      <c r="R59" s="253"/>
      <c r="S59" s="473"/>
      <c r="T59" s="371"/>
      <c r="U59" s="371"/>
      <c r="V59" s="252"/>
      <c r="W59" s="256"/>
      <c r="X59" s="255"/>
    </row>
    <row r="60" spans="1:36" s="256" customFormat="1" ht="14.45" customHeight="1">
      <c r="A60" s="77">
        <v>50</v>
      </c>
      <c r="C60" s="479"/>
      <c r="D60" s="479"/>
      <c r="E60" s="479"/>
      <c r="F60" s="479"/>
      <c r="G60" s="479"/>
      <c r="H60" s="479"/>
      <c r="I60" s="479"/>
      <c r="J60" s="479"/>
      <c r="K60" s="479"/>
      <c r="L60" s="479"/>
      <c r="M60" s="479"/>
      <c r="N60" s="479"/>
      <c r="O60" s="479"/>
      <c r="P60" s="479"/>
      <c r="Q60" s="877">
        <f>SUM(Q50:Q59)</f>
        <v>0</v>
      </c>
      <c r="R60" s="480" t="s">
        <v>640</v>
      </c>
      <c r="S60" s="878">
        <f>'Exhibit 6'!$D$61</f>
        <v>0.12581649289635913</v>
      </c>
      <c r="T60" s="882">
        <f>Q60*S60</f>
        <v>0</v>
      </c>
      <c r="U60" s="371"/>
      <c r="V60" s="252"/>
    </row>
    <row r="61" spans="1:36" s="256" customFormat="1">
      <c r="A61" s="77">
        <v>51</v>
      </c>
      <c r="C61" s="479"/>
      <c r="D61" s="776"/>
      <c r="E61" s="776"/>
      <c r="F61" s="776"/>
      <c r="G61" s="776"/>
      <c r="H61" s="776"/>
      <c r="I61" s="776"/>
      <c r="J61" s="776"/>
      <c r="K61" s="776"/>
      <c r="L61" s="776"/>
      <c r="M61" s="776"/>
      <c r="N61" s="776"/>
      <c r="O61" s="776"/>
      <c r="P61" s="776"/>
      <c r="Q61" s="463"/>
      <c r="R61" s="253"/>
      <c r="S61" s="473"/>
      <c r="T61" s="371"/>
      <c r="U61" s="371"/>
      <c r="V61" s="252"/>
      <c r="X61" s="556"/>
      <c r="Y61" s="556"/>
      <c r="Z61" s="556"/>
      <c r="AA61" s="556"/>
      <c r="AB61" s="556"/>
      <c r="AC61" s="556"/>
      <c r="AD61" s="556"/>
      <c r="AE61" s="556"/>
      <c r="AF61" s="556"/>
      <c r="AG61" s="556"/>
      <c r="AH61" s="556"/>
      <c r="AI61" s="556"/>
      <c r="AJ61" s="556"/>
    </row>
    <row r="62" spans="1:36">
      <c r="A62" s="77">
        <v>52</v>
      </c>
      <c r="B62" s="256"/>
      <c r="C62" s="369" t="s">
        <v>782</v>
      </c>
      <c r="D62" s="807">
        <f>-14299617.53-'WP Transaction Costs'!$F25</f>
        <v>-14267432.129999999</v>
      </c>
      <c r="E62" s="807">
        <f>-14333433.55-'WP Transaction Costs'!$F26</f>
        <v>-14301603.850000001</v>
      </c>
      <c r="F62" s="807">
        <f>-14365931.07-'WP Transaction Costs'!$F27</f>
        <v>-14334457.07</v>
      </c>
      <c r="G62" s="807">
        <f>-14354759.98-'WP Transaction Costs'!$F28</f>
        <v>-14323641.68</v>
      </c>
      <c r="H62" s="807">
        <f>-14395449.88-'WP Transaction Costs'!$F29</f>
        <v>-14364687.280000001</v>
      </c>
      <c r="I62" s="807">
        <f>-14419078.34-'WP Transaction Costs'!$F30</f>
        <v>-14388671.439999999</v>
      </c>
      <c r="J62" s="807">
        <f>-14442706.8-'WP Transaction Costs'!$F31</f>
        <v>-14412655.600000001</v>
      </c>
      <c r="K62" s="807">
        <f>-14466335.26-'WP Transaction Costs'!$F32</f>
        <v>-14436639.76</v>
      </c>
      <c r="L62" s="807">
        <f>-14489963.72-'WP Transaction Costs'!$F33</f>
        <v>-14460623.92</v>
      </c>
      <c r="M62" s="807">
        <f>-14562953.27-'WP Transaction Costs'!$F34</f>
        <v>-14533969.17</v>
      </c>
      <c r="N62" s="807">
        <f>-14736910.76-'WP Transaction Costs'!$F35</f>
        <v>-14708282.359999999</v>
      </c>
      <c r="O62" s="807">
        <f>-14766023.79-'WP Transaction Costs'!$F36</f>
        <v>-14737751.09</v>
      </c>
      <c r="P62" s="807">
        <f>-14259740.07-'WP Transaction Costs'!$F37</f>
        <v>-14231823.07</v>
      </c>
      <c r="Q62" s="817">
        <f>AVERAGE(D62:P62)</f>
        <v>-14423249.109230768</v>
      </c>
      <c r="R62" s="777"/>
      <c r="S62" s="475"/>
      <c r="T62" s="371"/>
      <c r="U62" s="371"/>
      <c r="V62" s="252"/>
      <c r="W62" s="256"/>
      <c r="X62" s="556"/>
      <c r="Y62" s="556"/>
      <c r="Z62" s="556"/>
      <c r="AA62" s="556"/>
      <c r="AB62" s="556"/>
      <c r="AC62" s="556"/>
      <c r="AD62" s="556"/>
      <c r="AE62" s="556"/>
      <c r="AF62" s="556"/>
      <c r="AG62" s="556"/>
      <c r="AH62" s="556"/>
      <c r="AI62" s="556"/>
      <c r="AJ62" s="556"/>
    </row>
    <row r="63" spans="1:36">
      <c r="A63" s="77">
        <v>53</v>
      </c>
      <c r="B63" s="256"/>
      <c r="C63" s="369" t="s">
        <v>789</v>
      </c>
      <c r="D63" s="807">
        <v>468091.72615799989</v>
      </c>
      <c r="E63" s="807">
        <v>472473.30615799985</v>
      </c>
      <c r="F63" s="807">
        <v>476854.88615799992</v>
      </c>
      <c r="G63" s="807">
        <v>490429.9198819999</v>
      </c>
      <c r="H63" s="807">
        <v>486281.43615799985</v>
      </c>
      <c r="I63" s="807">
        <v>490828.86365799996</v>
      </c>
      <c r="J63" s="807">
        <v>495376.29115799989</v>
      </c>
      <c r="K63" s="807">
        <v>499923.71865799988</v>
      </c>
      <c r="L63" s="807">
        <v>504471.14615799993</v>
      </c>
      <c r="M63" s="807">
        <v>506331.30865799991</v>
      </c>
      <c r="N63" s="807">
        <v>510580.15115799994</v>
      </c>
      <c r="O63" s="807">
        <v>514828.99365799985</v>
      </c>
      <c r="P63" s="807">
        <v>573780.04903799994</v>
      </c>
      <c r="Q63" s="817">
        <f t="shared" ref="Q63:Q71" si="2">AVERAGE(D63:P63)</f>
        <v>499250.13820446137</v>
      </c>
      <c r="R63" s="465"/>
      <c r="S63" s="475"/>
      <c r="T63" s="371"/>
      <c r="U63" s="371"/>
      <c r="V63" s="252"/>
      <c r="W63" s="256"/>
      <c r="X63" s="556"/>
      <c r="Y63" s="556"/>
      <c r="Z63" s="556"/>
      <c r="AA63" s="556"/>
      <c r="AB63" s="556"/>
      <c r="AC63" s="556"/>
      <c r="AD63" s="556"/>
      <c r="AE63" s="556"/>
      <c r="AF63" s="556"/>
      <c r="AG63" s="556"/>
      <c r="AH63" s="556"/>
      <c r="AI63" s="556"/>
      <c r="AJ63" s="556"/>
    </row>
    <row r="64" spans="1:36">
      <c r="A64" s="77">
        <v>54</v>
      </c>
      <c r="B64" s="256"/>
      <c r="C64" s="369" t="s">
        <v>790</v>
      </c>
      <c r="D64" s="807">
        <v>391815.69</v>
      </c>
      <c r="E64" s="807">
        <v>399838.23249999998</v>
      </c>
      <c r="F64" s="807">
        <v>407860.77500000002</v>
      </c>
      <c r="G64" s="807">
        <v>415883.37</v>
      </c>
      <c r="H64" s="807">
        <v>423905.93</v>
      </c>
      <c r="I64" s="807">
        <v>431928.49</v>
      </c>
      <c r="J64" s="807">
        <v>439951.05</v>
      </c>
      <c r="K64" s="807">
        <v>447973.60999999993</v>
      </c>
      <c r="L64" s="807">
        <v>455996.17000000004</v>
      </c>
      <c r="M64" s="807">
        <v>472536.01499999996</v>
      </c>
      <c r="N64" s="807">
        <v>487184.80999999994</v>
      </c>
      <c r="O64" s="807">
        <v>496153.73499999999</v>
      </c>
      <c r="P64" s="807">
        <v>505122.66</v>
      </c>
      <c r="Q64" s="817">
        <f t="shared" si="2"/>
        <v>444319.27211538458</v>
      </c>
      <c r="R64" s="465"/>
      <c r="S64" s="475"/>
      <c r="T64" s="371"/>
      <c r="U64" s="371"/>
      <c r="V64" s="252"/>
      <c r="W64" s="256"/>
      <c r="X64" s="255"/>
    </row>
    <row r="65" spans="1:24">
      <c r="A65" s="77">
        <v>55</v>
      </c>
      <c r="B65" s="256"/>
      <c r="C65" s="369" t="s">
        <v>791</v>
      </c>
      <c r="D65" s="807">
        <v>335519.94</v>
      </c>
      <c r="E65" s="807">
        <v>340964.08499999996</v>
      </c>
      <c r="F65" s="807">
        <v>346408.23</v>
      </c>
      <c r="G65" s="807">
        <v>351852.375</v>
      </c>
      <c r="H65" s="807">
        <v>357296.51999999996</v>
      </c>
      <c r="I65" s="807">
        <v>362740.66499999998</v>
      </c>
      <c r="J65" s="807">
        <v>368184.81</v>
      </c>
      <c r="K65" s="807">
        <v>373628.95499999996</v>
      </c>
      <c r="L65" s="807">
        <v>379073.1</v>
      </c>
      <c r="M65" s="807">
        <v>391347.07500000001</v>
      </c>
      <c r="N65" s="807">
        <v>402104.99</v>
      </c>
      <c r="O65" s="807">
        <v>408308.005</v>
      </c>
      <c r="P65" s="807">
        <v>414511.01999999996</v>
      </c>
      <c r="Q65" s="817">
        <f t="shared" si="2"/>
        <v>371687.6746153846</v>
      </c>
      <c r="R65" s="465"/>
      <c r="S65" s="475"/>
      <c r="T65" s="371"/>
      <c r="U65" s="371"/>
      <c r="V65" s="252"/>
      <c r="W65" s="256"/>
      <c r="X65" s="255"/>
    </row>
    <row r="66" spans="1:24">
      <c r="A66" s="77">
        <v>56</v>
      </c>
      <c r="B66" s="256"/>
      <c r="C66" s="369" t="s">
        <v>792</v>
      </c>
      <c r="D66" s="807">
        <v>60646.041018891905</v>
      </c>
      <c r="E66" s="807">
        <v>60151.018518891899</v>
      </c>
      <c r="F66" s="807">
        <v>59655.996018891907</v>
      </c>
      <c r="G66" s="807">
        <v>59160.9735188919</v>
      </c>
      <c r="H66" s="807">
        <v>58665.951018891908</v>
      </c>
      <c r="I66" s="807">
        <v>58170.928518891902</v>
      </c>
      <c r="J66" s="807">
        <v>57675.906018891896</v>
      </c>
      <c r="K66" s="807">
        <v>57180.883518891904</v>
      </c>
      <c r="L66" s="807">
        <v>56685.861018891897</v>
      </c>
      <c r="M66" s="807">
        <v>56203.9110188919</v>
      </c>
      <c r="N66" s="807">
        <v>55719.791018891905</v>
      </c>
      <c r="O66" s="807">
        <v>55226.221018891898</v>
      </c>
      <c r="P66" s="807">
        <v>54732.651018891906</v>
      </c>
      <c r="Q66" s="817">
        <f t="shared" si="2"/>
        <v>57682.779480430363</v>
      </c>
      <c r="R66" s="465"/>
      <c r="S66" s="475"/>
      <c r="T66" s="371"/>
      <c r="U66" s="371"/>
      <c r="V66" s="252"/>
      <c r="W66" s="256"/>
      <c r="X66" s="255"/>
    </row>
    <row r="67" spans="1:24">
      <c r="A67" s="77">
        <v>57</v>
      </c>
      <c r="B67" s="256"/>
      <c r="C67" s="369" t="s">
        <v>793</v>
      </c>
      <c r="D67" s="807">
        <v>-80747.520000000004</v>
      </c>
      <c r="E67" s="807">
        <v>-81739.647500000006</v>
      </c>
      <c r="F67" s="807">
        <v>-82731.774999999994</v>
      </c>
      <c r="G67" s="807">
        <v>-83723.902499999997</v>
      </c>
      <c r="H67" s="807">
        <v>-84716.03</v>
      </c>
      <c r="I67" s="807">
        <v>-85708.157499999987</v>
      </c>
      <c r="J67" s="807">
        <v>-86700.285000000003</v>
      </c>
      <c r="K67" s="807">
        <v>-87692.412500000006</v>
      </c>
      <c r="L67" s="807">
        <v>-88684.54</v>
      </c>
      <c r="M67" s="807">
        <v>-89884.41</v>
      </c>
      <c r="N67" s="807">
        <v>-91040.95</v>
      </c>
      <c r="O67" s="807">
        <v>-92056.16</v>
      </c>
      <c r="P67" s="807">
        <v>-93071.37</v>
      </c>
      <c r="Q67" s="817">
        <f t="shared" si="2"/>
        <v>-86807.473846153851</v>
      </c>
      <c r="R67" s="465"/>
      <c r="S67" s="475"/>
      <c r="T67" s="371"/>
      <c r="U67" s="371"/>
      <c r="V67" s="252"/>
      <c r="W67" s="256"/>
      <c r="X67" s="255"/>
    </row>
    <row r="68" spans="1:24">
      <c r="A68" s="77">
        <v>58</v>
      </c>
      <c r="B68" s="256"/>
      <c r="C68" s="369" t="s">
        <v>794</v>
      </c>
      <c r="D68" s="807">
        <v>-2181933.0438742875</v>
      </c>
      <c r="E68" s="807">
        <v>-2209031.5589038515</v>
      </c>
      <c r="F68" s="807">
        <v>-2236130.0739334156</v>
      </c>
      <c r="G68" s="807">
        <v>-2218706.7035642043</v>
      </c>
      <c r="H68" s="807">
        <v>-2299802.3446433758</v>
      </c>
      <c r="I68" s="807">
        <v>-2329269.669835648</v>
      </c>
      <c r="J68" s="807">
        <v>-2358736.9950279198</v>
      </c>
      <c r="K68" s="807">
        <v>-2388204.320220192</v>
      </c>
      <c r="L68" s="807">
        <v>-2417671.6454124642</v>
      </c>
      <c r="M68" s="807">
        <v>-2574778.4959598919</v>
      </c>
      <c r="N68" s="807">
        <v>-2634058.9482251271</v>
      </c>
      <c r="O68" s="807">
        <v>-2677708.4429013054</v>
      </c>
      <c r="P68" s="807">
        <v>-2406732.0680548279</v>
      </c>
      <c r="Q68" s="817">
        <f t="shared" si="2"/>
        <v>-2379443.4085043469</v>
      </c>
      <c r="R68" s="465"/>
      <c r="S68" s="475"/>
      <c r="T68" s="371"/>
      <c r="U68" s="371"/>
      <c r="V68" s="252"/>
      <c r="W68" s="256"/>
      <c r="X68" s="255"/>
    </row>
    <row r="69" spans="1:24">
      <c r="A69" s="77">
        <v>59</v>
      </c>
      <c r="B69" s="256"/>
      <c r="C69" s="369" t="s">
        <v>795</v>
      </c>
      <c r="D69" s="807">
        <v>-3776859.1972260186</v>
      </c>
      <c r="E69" s="807">
        <v>-3829168.5753592057</v>
      </c>
      <c r="F69" s="807">
        <v>-3879125.4228592059</v>
      </c>
      <c r="G69" s="807">
        <v>-3962819.6103592059</v>
      </c>
      <c r="H69" s="807">
        <v>-4024022.2378592053</v>
      </c>
      <c r="I69" s="807">
        <v>-4085224.8653592058</v>
      </c>
      <c r="J69" s="807">
        <v>-4146427.4928592057</v>
      </c>
      <c r="K69" s="807">
        <v>-4207630.1203592056</v>
      </c>
      <c r="L69" s="807">
        <v>-4268832.7478592061</v>
      </c>
      <c r="M69" s="807">
        <v>-4330035.3753592055</v>
      </c>
      <c r="N69" s="807">
        <v>-4391363.0949999997</v>
      </c>
      <c r="O69" s="807">
        <v>-4452565.7225000001</v>
      </c>
      <c r="P69" s="807">
        <v>-4520347.0199999996</v>
      </c>
      <c r="Q69" s="817">
        <f t="shared" si="2"/>
        <v>-4144186.2679199129</v>
      </c>
      <c r="R69" s="465"/>
      <c r="S69" s="475"/>
      <c r="T69" s="371"/>
      <c r="U69" s="371"/>
      <c r="V69" s="252"/>
      <c r="W69" s="256"/>
      <c r="X69" s="255"/>
    </row>
    <row r="70" spans="1:24">
      <c r="A70" s="77">
        <v>60</v>
      </c>
      <c r="B70" s="256"/>
      <c r="C70" s="369" t="s">
        <v>796</v>
      </c>
      <c r="D70" s="807">
        <v>-128726.65259999999</v>
      </c>
      <c r="E70" s="807">
        <v>-128726.65259999999</v>
      </c>
      <c r="F70" s="807">
        <v>-128726.65259999999</v>
      </c>
      <c r="G70" s="807">
        <v>-128726.65259999999</v>
      </c>
      <c r="H70" s="807">
        <v>-128726.65259999999</v>
      </c>
      <c r="I70" s="807">
        <v>-128726.65259999999</v>
      </c>
      <c r="J70" s="807">
        <v>-128726.65259999999</v>
      </c>
      <c r="K70" s="807">
        <v>-128726.65259999999</v>
      </c>
      <c r="L70" s="807">
        <v>-128726.65259999999</v>
      </c>
      <c r="M70" s="807">
        <v>-128726.65259999999</v>
      </c>
      <c r="N70" s="807">
        <v>-128726.65259999999</v>
      </c>
      <c r="O70" s="807">
        <v>-128726.65259999999</v>
      </c>
      <c r="P70" s="807">
        <v>-128726.65259999999</v>
      </c>
      <c r="Q70" s="817">
        <f t="shared" si="2"/>
        <v>-128726.65259999997</v>
      </c>
      <c r="R70" s="465"/>
      <c r="S70" s="475"/>
      <c r="T70" s="371"/>
      <c r="U70" s="371"/>
      <c r="V70" s="252"/>
      <c r="W70" s="256"/>
      <c r="X70" s="255"/>
    </row>
    <row r="71" spans="1:24">
      <c r="A71" s="77">
        <v>61</v>
      </c>
      <c r="B71" s="256"/>
      <c r="C71" s="369" t="s">
        <v>797</v>
      </c>
      <c r="D71" s="807">
        <v>-179056.56558058417</v>
      </c>
      <c r="E71" s="807">
        <v>-179056.56558058417</v>
      </c>
      <c r="F71" s="807">
        <v>-179056.56558058417</v>
      </c>
      <c r="G71" s="807">
        <v>-179056.56558058417</v>
      </c>
      <c r="H71" s="807">
        <v>-179056.56558058417</v>
      </c>
      <c r="I71" s="807">
        <v>-179056.56558058417</v>
      </c>
      <c r="J71" s="807">
        <v>-179056.56558058417</v>
      </c>
      <c r="K71" s="807">
        <v>-179056.56558058417</v>
      </c>
      <c r="L71" s="807">
        <v>-179056.56558058417</v>
      </c>
      <c r="M71" s="807">
        <v>-179056.56558058417</v>
      </c>
      <c r="N71" s="807">
        <v>-175946.10217729432</v>
      </c>
      <c r="O71" s="807">
        <v>-175946.10217729432</v>
      </c>
      <c r="P71" s="807">
        <v>-175946.10217729432</v>
      </c>
      <c r="Q71" s="817">
        <f t="shared" si="2"/>
        <v>-178338.76633367111</v>
      </c>
      <c r="R71" s="465"/>
      <c r="S71" s="475"/>
      <c r="T71" s="371"/>
      <c r="U71" s="371"/>
      <c r="V71" s="252"/>
      <c r="W71" s="256"/>
      <c r="X71" s="255"/>
    </row>
    <row r="72" spans="1:24">
      <c r="A72" s="77">
        <v>62</v>
      </c>
      <c r="B72" s="256"/>
      <c r="C72" s="479"/>
      <c r="D72" s="371"/>
      <c r="E72" s="371"/>
      <c r="F72" s="371"/>
      <c r="G72" s="371"/>
      <c r="H72" s="371"/>
      <c r="I72" s="371"/>
      <c r="J72" s="371"/>
      <c r="K72" s="371"/>
      <c r="L72" s="371"/>
      <c r="M72" s="371"/>
      <c r="N72" s="371"/>
      <c r="O72" s="371"/>
      <c r="P72" s="371"/>
      <c r="Q72" s="877">
        <f>SUM(Q62:Q71)</f>
        <v>-19967811.814019192</v>
      </c>
      <c r="R72" s="481" t="s">
        <v>641</v>
      </c>
      <c r="S72" s="878">
        <f>'Exhibit 6'!$D$51</f>
        <v>0.35896487525725679</v>
      </c>
      <c r="T72" s="877">
        <f>Q72*S72</f>
        <v>-7167743.0769797778</v>
      </c>
      <c r="U72" s="371"/>
      <c r="V72" s="252"/>
      <c r="W72" s="256"/>
      <c r="X72" s="255"/>
    </row>
    <row r="73" spans="1:24" s="256" customFormat="1" ht="14.45" customHeight="1">
      <c r="A73" s="77">
        <v>63</v>
      </c>
      <c r="C73" s="479"/>
      <c r="D73" s="479"/>
      <c r="E73" s="479"/>
      <c r="F73" s="479"/>
      <c r="G73" s="479"/>
      <c r="H73" s="479"/>
      <c r="I73" s="479"/>
      <c r="J73" s="479"/>
      <c r="K73" s="479"/>
      <c r="L73" s="479"/>
      <c r="M73" s="479"/>
      <c r="N73" s="479"/>
      <c r="O73" s="479"/>
      <c r="P73" s="479"/>
      <c r="U73" s="371"/>
      <c r="V73" s="252"/>
    </row>
    <row r="74" spans="1:24">
      <c r="A74" s="77">
        <v>64</v>
      </c>
      <c r="B74" s="256"/>
      <c r="C74" s="361" t="s">
        <v>781</v>
      </c>
      <c r="D74" s="361"/>
      <c r="E74" s="361"/>
      <c r="F74" s="361"/>
      <c r="G74" s="361"/>
      <c r="H74" s="361"/>
      <c r="I74" s="361"/>
      <c r="J74" s="361"/>
      <c r="K74" s="361"/>
      <c r="L74" s="361"/>
      <c r="M74" s="361"/>
      <c r="N74" s="361"/>
      <c r="O74" s="361"/>
      <c r="P74" s="361"/>
      <c r="Q74" s="765"/>
      <c r="R74" s="253"/>
      <c r="S74" s="473"/>
      <c r="T74" s="371"/>
      <c r="U74" s="371"/>
      <c r="V74" s="252"/>
      <c r="W74" s="256"/>
      <c r="X74" s="255"/>
    </row>
    <row r="75" spans="1:24">
      <c r="A75" s="77">
        <v>65</v>
      </c>
      <c r="B75" s="256"/>
      <c r="C75" s="361" t="s">
        <v>781</v>
      </c>
      <c r="D75" s="361"/>
      <c r="E75" s="361"/>
      <c r="F75" s="361"/>
      <c r="G75" s="361"/>
      <c r="H75" s="361"/>
      <c r="I75" s="361"/>
      <c r="J75" s="361"/>
      <c r="K75" s="361"/>
      <c r="L75" s="361"/>
      <c r="M75" s="361"/>
      <c r="N75" s="361"/>
      <c r="O75" s="361"/>
      <c r="P75" s="361"/>
      <c r="Q75" s="765"/>
      <c r="R75" s="253"/>
      <c r="S75" s="473"/>
      <c r="T75" s="371"/>
      <c r="U75" s="371"/>
      <c r="V75" s="252"/>
      <c r="W75" s="256"/>
      <c r="X75" s="255"/>
    </row>
    <row r="76" spans="1:24">
      <c r="A76" s="77">
        <v>66</v>
      </c>
      <c r="B76" s="256"/>
      <c r="C76" s="361" t="s">
        <v>781</v>
      </c>
      <c r="D76" s="361"/>
      <c r="E76" s="361"/>
      <c r="F76" s="361"/>
      <c r="G76" s="361"/>
      <c r="H76" s="361"/>
      <c r="I76" s="361"/>
      <c r="J76" s="361"/>
      <c r="K76" s="361"/>
      <c r="L76" s="361"/>
      <c r="M76" s="361"/>
      <c r="N76" s="361"/>
      <c r="O76" s="361"/>
      <c r="P76" s="361"/>
      <c r="Q76" s="765"/>
      <c r="R76" s="253"/>
      <c r="S76" s="473"/>
      <c r="T76" s="371"/>
      <c r="U76" s="371"/>
      <c r="V76" s="252"/>
      <c r="W76" s="256"/>
      <c r="X76" s="255"/>
    </row>
    <row r="77" spans="1:24">
      <c r="A77" s="77">
        <v>67</v>
      </c>
      <c r="B77" s="256"/>
      <c r="C77" s="361" t="s">
        <v>781</v>
      </c>
      <c r="D77" s="361"/>
      <c r="E77" s="361"/>
      <c r="F77" s="361"/>
      <c r="G77" s="361"/>
      <c r="H77" s="361"/>
      <c r="I77" s="361"/>
      <c r="J77" s="361"/>
      <c r="K77" s="361"/>
      <c r="L77" s="361"/>
      <c r="M77" s="361"/>
      <c r="N77" s="361"/>
      <c r="O77" s="361"/>
      <c r="P77" s="361"/>
      <c r="Q77" s="765"/>
      <c r="R77" s="253"/>
      <c r="S77" s="473"/>
      <c r="T77" s="371"/>
      <c r="U77" s="371"/>
      <c r="V77" s="252"/>
      <c r="W77" s="256"/>
      <c r="X77" s="255"/>
    </row>
    <row r="78" spans="1:24">
      <c r="A78" s="77">
        <v>68</v>
      </c>
      <c r="B78" s="256"/>
      <c r="C78" s="361" t="s">
        <v>781</v>
      </c>
      <c r="D78" s="361"/>
      <c r="E78" s="361"/>
      <c r="F78" s="361"/>
      <c r="G78" s="361"/>
      <c r="H78" s="361"/>
      <c r="I78" s="361"/>
      <c r="J78" s="361"/>
      <c r="K78" s="361"/>
      <c r="L78" s="361"/>
      <c r="M78" s="361"/>
      <c r="N78" s="361"/>
      <c r="O78" s="361"/>
      <c r="P78" s="361"/>
      <c r="Q78" s="765"/>
      <c r="R78" s="253"/>
      <c r="S78" s="473"/>
      <c r="T78" s="371"/>
      <c r="U78" s="371"/>
      <c r="V78" s="252"/>
      <c r="W78" s="256"/>
      <c r="X78" s="255"/>
    </row>
    <row r="79" spans="1:24">
      <c r="A79" s="77">
        <v>69</v>
      </c>
      <c r="B79" s="256"/>
      <c r="C79" s="361" t="s">
        <v>781</v>
      </c>
      <c r="D79" s="361"/>
      <c r="E79" s="361"/>
      <c r="F79" s="361"/>
      <c r="G79" s="361"/>
      <c r="H79" s="361"/>
      <c r="I79" s="361"/>
      <c r="J79" s="361"/>
      <c r="K79" s="361"/>
      <c r="L79" s="361"/>
      <c r="M79" s="361"/>
      <c r="N79" s="361"/>
      <c r="O79" s="361"/>
      <c r="P79" s="361"/>
      <c r="Q79" s="765"/>
      <c r="R79" s="253"/>
      <c r="S79" s="473"/>
      <c r="T79" s="371"/>
      <c r="U79" s="371"/>
      <c r="V79" s="252"/>
      <c r="W79" s="256"/>
      <c r="X79" s="255"/>
    </row>
    <row r="80" spans="1:24">
      <c r="A80" s="77">
        <v>70</v>
      </c>
      <c r="B80" s="256"/>
      <c r="C80" s="361" t="s">
        <v>781</v>
      </c>
      <c r="D80" s="361"/>
      <c r="E80" s="361"/>
      <c r="F80" s="361"/>
      <c r="G80" s="361"/>
      <c r="H80" s="361"/>
      <c r="I80" s="361"/>
      <c r="J80" s="361"/>
      <c r="K80" s="361"/>
      <c r="L80" s="361"/>
      <c r="M80" s="361"/>
      <c r="N80" s="361"/>
      <c r="O80" s="361"/>
      <c r="P80" s="361"/>
      <c r="Q80" s="765"/>
      <c r="R80" s="253"/>
      <c r="S80" s="473"/>
      <c r="T80" s="371"/>
      <c r="U80" s="371"/>
      <c r="V80" s="252"/>
      <c r="W80" s="256"/>
      <c r="X80" s="255"/>
    </row>
    <row r="81" spans="1:24">
      <c r="A81" s="77">
        <v>71</v>
      </c>
      <c r="B81" s="256"/>
      <c r="C81" s="361" t="s">
        <v>781</v>
      </c>
      <c r="D81" s="361"/>
      <c r="E81" s="361"/>
      <c r="F81" s="361"/>
      <c r="G81" s="361"/>
      <c r="H81" s="361"/>
      <c r="I81" s="361"/>
      <c r="J81" s="361"/>
      <c r="K81" s="361"/>
      <c r="L81" s="361"/>
      <c r="M81" s="361"/>
      <c r="N81" s="361"/>
      <c r="O81" s="361"/>
      <c r="P81" s="361"/>
      <c r="Q81" s="765"/>
      <c r="R81" s="253"/>
      <c r="S81" s="473"/>
      <c r="T81" s="371"/>
      <c r="U81" s="371"/>
      <c r="V81" s="252"/>
      <c r="W81" s="256"/>
      <c r="X81" s="255"/>
    </row>
    <row r="82" spans="1:24">
      <c r="A82" s="77">
        <v>72</v>
      </c>
      <c r="B82" s="256"/>
      <c r="C82" s="361" t="s">
        <v>781</v>
      </c>
      <c r="D82" s="361"/>
      <c r="E82" s="361"/>
      <c r="F82" s="361"/>
      <c r="G82" s="361"/>
      <c r="H82" s="361"/>
      <c r="I82" s="361"/>
      <c r="J82" s="361"/>
      <c r="K82" s="361"/>
      <c r="L82" s="361"/>
      <c r="M82" s="361"/>
      <c r="N82" s="361"/>
      <c r="O82" s="361"/>
      <c r="P82" s="361"/>
      <c r="Q82" s="765"/>
      <c r="R82" s="253"/>
      <c r="S82" s="473"/>
      <c r="T82" s="371"/>
      <c r="U82" s="371"/>
      <c r="V82" s="252"/>
      <c r="W82" s="256"/>
      <c r="X82" s="255"/>
    </row>
    <row r="83" spans="1:24">
      <c r="A83" s="77">
        <v>73</v>
      </c>
      <c r="B83" s="256"/>
      <c r="C83" s="361" t="s">
        <v>781</v>
      </c>
      <c r="D83" s="361"/>
      <c r="E83" s="361"/>
      <c r="F83" s="361"/>
      <c r="G83" s="361"/>
      <c r="H83" s="361"/>
      <c r="I83" s="361"/>
      <c r="J83" s="361"/>
      <c r="K83" s="361"/>
      <c r="L83" s="361"/>
      <c r="M83" s="361"/>
      <c r="N83" s="361"/>
      <c r="O83" s="361"/>
      <c r="P83" s="361"/>
      <c r="Q83" s="765"/>
      <c r="R83" s="253"/>
      <c r="S83" s="473"/>
      <c r="T83" s="371"/>
      <c r="U83" s="371"/>
      <c r="V83" s="252"/>
      <c r="W83" s="256"/>
      <c r="X83" s="255"/>
    </row>
    <row r="84" spans="1:24" s="256" customFormat="1" ht="14.45" customHeight="1">
      <c r="A84" s="77">
        <v>74</v>
      </c>
      <c r="C84" s="479"/>
      <c r="D84" s="479"/>
      <c r="E84" s="479"/>
      <c r="F84" s="479"/>
      <c r="G84" s="479"/>
      <c r="H84" s="479"/>
      <c r="I84" s="479"/>
      <c r="J84" s="479"/>
      <c r="K84" s="479"/>
      <c r="L84" s="479"/>
      <c r="M84" s="479"/>
      <c r="N84" s="479"/>
      <c r="O84" s="479"/>
      <c r="P84" s="479"/>
      <c r="Q84" s="877">
        <f>SUM(Q74:Q83)</f>
        <v>0</v>
      </c>
      <c r="R84" s="481" t="s">
        <v>642</v>
      </c>
      <c r="S84" s="878">
        <f>'Exhibit 6'!$D$55</f>
        <v>0.29969181559056945</v>
      </c>
      <c r="T84" s="877">
        <f>Q84*S84</f>
        <v>0</v>
      </c>
      <c r="U84" s="371"/>
      <c r="V84" s="252"/>
    </row>
    <row r="85" spans="1:24">
      <c r="A85" s="77">
        <v>75</v>
      </c>
      <c r="B85" s="256"/>
      <c r="C85" s="482" t="s">
        <v>126</v>
      </c>
      <c r="D85" s="482"/>
      <c r="E85" s="482"/>
      <c r="F85" s="482"/>
      <c r="G85" s="482"/>
      <c r="H85" s="482"/>
      <c r="I85" s="482"/>
      <c r="J85" s="482"/>
      <c r="K85" s="482"/>
      <c r="L85" s="482"/>
      <c r="M85" s="482"/>
      <c r="N85" s="482"/>
      <c r="O85" s="482"/>
      <c r="P85" s="482"/>
      <c r="Q85" s="483"/>
      <c r="R85" s="237"/>
      <c r="S85" s="484"/>
      <c r="T85" s="879">
        <f>SUM(T60,T72,T84)</f>
        <v>-7167743.0769797778</v>
      </c>
      <c r="U85" s="463"/>
      <c r="V85" s="252" t="s">
        <v>658</v>
      </c>
      <c r="W85" s="256"/>
      <c r="X85" s="255"/>
    </row>
    <row r="86" spans="1:24">
      <c r="A86" s="77">
        <v>76</v>
      </c>
      <c r="B86" s="256"/>
      <c r="C86" s="256"/>
      <c r="D86" s="256"/>
      <c r="E86" s="256"/>
      <c r="F86" s="256"/>
      <c r="G86" s="256"/>
      <c r="H86" s="256"/>
      <c r="I86" s="256"/>
      <c r="J86" s="256"/>
      <c r="K86" s="256"/>
      <c r="L86" s="256"/>
      <c r="M86" s="256"/>
      <c r="N86" s="256"/>
      <c r="O86" s="256"/>
      <c r="P86" s="256"/>
      <c r="Q86" s="371"/>
      <c r="R86" s="253"/>
      <c r="S86" s="473"/>
      <c r="T86" s="371"/>
      <c r="U86" s="371"/>
      <c r="V86" s="252"/>
      <c r="W86" s="256"/>
      <c r="X86" s="255"/>
    </row>
    <row r="87" spans="1:24">
      <c r="A87" s="77">
        <v>77</v>
      </c>
      <c r="B87" s="256" t="s">
        <v>276</v>
      </c>
      <c r="C87" s="256"/>
      <c r="D87" s="256"/>
      <c r="E87" s="256"/>
      <c r="F87" s="256"/>
      <c r="G87" s="256"/>
      <c r="H87" s="256"/>
      <c r="I87" s="256"/>
      <c r="J87" s="256"/>
      <c r="K87" s="256"/>
      <c r="L87" s="256"/>
      <c r="M87" s="256"/>
      <c r="N87" s="256"/>
      <c r="O87" s="256"/>
      <c r="P87" s="256"/>
      <c r="Q87" s="371"/>
      <c r="R87" s="253"/>
      <c r="S87" s="473"/>
      <c r="T87" s="371"/>
      <c r="U87" s="371"/>
      <c r="V87" s="252" t="s">
        <v>317</v>
      </c>
      <c r="W87" s="256"/>
      <c r="X87" s="255"/>
    </row>
    <row r="88" spans="1:24">
      <c r="A88" s="77">
        <v>78</v>
      </c>
      <c r="B88" s="256"/>
      <c r="C88" s="337" t="s">
        <v>783</v>
      </c>
      <c r="D88" s="807">
        <v>2027.6246090134068</v>
      </c>
      <c r="E88" s="807">
        <v>2361.138788638089</v>
      </c>
      <c r="F88" s="807">
        <v>0.12010762038332264</v>
      </c>
      <c r="G88" s="807">
        <v>0.1205833888627888</v>
      </c>
      <c r="H88" s="807">
        <v>9607.2673325170763</v>
      </c>
      <c r="I88" s="807">
        <v>18119.337773277519</v>
      </c>
      <c r="J88" s="807">
        <v>-8670.3526905749877</v>
      </c>
      <c r="K88" s="807">
        <v>208.41440238566707</v>
      </c>
      <c r="L88" s="807">
        <v>7490.3369120220241</v>
      </c>
      <c r="M88" s="807">
        <v>16597.22452380944</v>
      </c>
      <c r="N88" s="807">
        <v>25704.112135596861</v>
      </c>
      <c r="O88" s="807">
        <v>-40106.391936426706</v>
      </c>
      <c r="P88" s="807">
        <v>-32176.566008864269</v>
      </c>
      <c r="Q88" s="817">
        <f t="shared" ref="Q88:Q89" si="3">AVERAGE(D88:P88)</f>
        <v>89.414348646413529</v>
      </c>
      <c r="R88" s="477"/>
      <c r="S88" s="475"/>
      <c r="T88" s="371"/>
      <c r="U88" s="371"/>
      <c r="V88" s="252"/>
      <c r="W88" s="256"/>
      <c r="X88" s="255"/>
    </row>
    <row r="89" spans="1:24">
      <c r="A89" s="77">
        <v>79</v>
      </c>
      <c r="B89" s="256"/>
      <c r="C89" s="337" t="s">
        <v>784</v>
      </c>
      <c r="D89" s="807">
        <v>-1267618.3422314876</v>
      </c>
      <c r="E89" s="807">
        <v>-1246092.8378117178</v>
      </c>
      <c r="F89" s="807">
        <v>-1224567.3333919477</v>
      </c>
      <c r="G89" s="807">
        <v>-1203041.8289721778</v>
      </c>
      <c r="H89" s="807">
        <v>-1181516.3245524077</v>
      </c>
      <c r="I89" s="807">
        <v>-1159990.8201326376</v>
      </c>
      <c r="J89" s="807">
        <v>-1138465.3157128678</v>
      </c>
      <c r="K89" s="807">
        <v>-1116939.8112930977</v>
      </c>
      <c r="L89" s="807">
        <v>-1095414.3068733276</v>
      </c>
      <c r="M89" s="807">
        <v>-1073888.8024535575</v>
      </c>
      <c r="N89" s="807">
        <v>-1052363.2980337876</v>
      </c>
      <c r="O89" s="807">
        <v>-1030837.7936140175</v>
      </c>
      <c r="P89" s="807">
        <v>-1015897.4280942475</v>
      </c>
      <c r="Q89" s="817">
        <f t="shared" si="3"/>
        <v>-1138971.8648590213</v>
      </c>
      <c r="R89" s="477"/>
      <c r="S89" s="475"/>
      <c r="T89" s="371"/>
      <c r="U89" s="371"/>
      <c r="V89" s="252"/>
      <c r="W89" s="256"/>
      <c r="X89" s="255"/>
    </row>
    <row r="90" spans="1:24">
      <c r="A90" s="77">
        <v>80</v>
      </c>
      <c r="B90" s="256"/>
      <c r="C90" s="361" t="s">
        <v>1197</v>
      </c>
      <c r="D90" s="807">
        <v>-36540.655046278014</v>
      </c>
      <c r="E90" s="807">
        <v>-33920.579952616376</v>
      </c>
      <c r="F90" s="807">
        <v>-28170.711399050622</v>
      </c>
      <c r="G90" s="807">
        <v>-33414.714835286228</v>
      </c>
      <c r="H90" s="807">
        <v>-72386.772641255055</v>
      </c>
      <c r="I90" s="807">
        <v>-85092.320218730267</v>
      </c>
      <c r="J90" s="807">
        <v>-72011.633953161509</v>
      </c>
      <c r="K90" s="807">
        <v>-82189.503054460656</v>
      </c>
      <c r="L90" s="807">
        <v>-93869.249068737408</v>
      </c>
      <c r="M90" s="807">
        <v>-80312.436546162222</v>
      </c>
      <c r="N90" s="807">
        <v>-83297.472688612295</v>
      </c>
      <c r="O90" s="807">
        <v>-84352.993129858369</v>
      </c>
      <c r="P90" s="807">
        <v>-56251.183339443553</v>
      </c>
      <c r="Q90" s="817">
        <f t="shared" ref="Q90" si="4">AVERAGE(D90:P90)</f>
        <v>-64754.632759511733</v>
      </c>
      <c r="R90" s="477"/>
      <c r="S90" s="475"/>
      <c r="T90" s="371"/>
      <c r="U90" s="371"/>
      <c r="V90" s="252"/>
      <c r="W90" s="256"/>
      <c r="X90" s="255"/>
    </row>
    <row r="91" spans="1:24">
      <c r="A91" s="77">
        <v>81</v>
      </c>
      <c r="B91" s="256"/>
      <c r="C91" s="361" t="s">
        <v>781</v>
      </c>
      <c r="D91" s="361"/>
      <c r="E91" s="361"/>
      <c r="F91" s="361"/>
      <c r="G91" s="361"/>
      <c r="H91" s="361"/>
      <c r="I91" s="361"/>
      <c r="J91" s="361"/>
      <c r="K91" s="361"/>
      <c r="L91" s="361"/>
      <c r="M91" s="361"/>
      <c r="N91" s="361"/>
      <c r="O91" s="361"/>
      <c r="P91" s="361"/>
      <c r="Q91" s="880"/>
      <c r="R91" s="256"/>
      <c r="S91" s="256"/>
      <c r="T91" s="371"/>
      <c r="U91" s="371"/>
      <c r="V91" s="252"/>
      <c r="W91" s="256"/>
      <c r="X91" s="255"/>
    </row>
    <row r="92" spans="1:24">
      <c r="A92" s="77">
        <v>82</v>
      </c>
      <c r="B92" s="256"/>
      <c r="C92" s="361" t="s">
        <v>781</v>
      </c>
      <c r="D92" s="361"/>
      <c r="E92" s="361"/>
      <c r="F92" s="361"/>
      <c r="G92" s="361"/>
      <c r="H92" s="361"/>
      <c r="I92" s="361"/>
      <c r="J92" s="361"/>
      <c r="K92" s="361"/>
      <c r="L92" s="361"/>
      <c r="M92" s="361"/>
      <c r="N92" s="361"/>
      <c r="O92" s="361"/>
      <c r="P92" s="361"/>
      <c r="Q92" s="880"/>
      <c r="R92" s="253"/>
      <c r="S92" s="473"/>
      <c r="T92" s="371"/>
      <c r="U92" s="371"/>
      <c r="V92" s="252"/>
      <c r="W92" s="256"/>
      <c r="X92" s="255"/>
    </row>
    <row r="93" spans="1:24">
      <c r="A93" s="77">
        <v>83</v>
      </c>
      <c r="B93" s="256"/>
      <c r="C93" s="361" t="s">
        <v>781</v>
      </c>
      <c r="D93" s="361"/>
      <c r="E93" s="361"/>
      <c r="F93" s="361"/>
      <c r="G93" s="361"/>
      <c r="H93" s="361"/>
      <c r="I93" s="361"/>
      <c r="J93" s="361"/>
      <c r="K93" s="361"/>
      <c r="L93" s="361"/>
      <c r="M93" s="361"/>
      <c r="N93" s="361"/>
      <c r="O93" s="361"/>
      <c r="P93" s="361"/>
      <c r="Q93" s="880"/>
      <c r="R93" s="253"/>
      <c r="S93" s="473"/>
      <c r="T93" s="371"/>
      <c r="U93" s="371"/>
      <c r="V93" s="252"/>
      <c r="W93" s="256"/>
      <c r="X93" s="255"/>
    </row>
    <row r="94" spans="1:24">
      <c r="A94" s="77">
        <v>84</v>
      </c>
      <c r="B94" s="256"/>
      <c r="C94" s="361" t="s">
        <v>781</v>
      </c>
      <c r="D94" s="361"/>
      <c r="E94" s="361"/>
      <c r="F94" s="361"/>
      <c r="G94" s="361"/>
      <c r="H94" s="361"/>
      <c r="I94" s="361"/>
      <c r="J94" s="361"/>
      <c r="K94" s="361"/>
      <c r="L94" s="361"/>
      <c r="M94" s="361"/>
      <c r="N94" s="361"/>
      <c r="O94" s="361"/>
      <c r="P94" s="361"/>
      <c r="Q94" s="880"/>
      <c r="R94" s="253"/>
      <c r="S94" s="473"/>
      <c r="T94" s="371"/>
      <c r="U94" s="371"/>
      <c r="V94" s="252"/>
      <c r="W94" s="256"/>
      <c r="X94" s="255"/>
    </row>
    <row r="95" spans="1:24">
      <c r="A95" s="77">
        <v>85</v>
      </c>
      <c r="B95" s="256"/>
      <c r="C95" s="361" t="s">
        <v>781</v>
      </c>
      <c r="D95" s="361"/>
      <c r="E95" s="361"/>
      <c r="F95" s="361"/>
      <c r="G95" s="361"/>
      <c r="H95" s="361"/>
      <c r="I95" s="361"/>
      <c r="J95" s="361"/>
      <c r="K95" s="361"/>
      <c r="L95" s="361"/>
      <c r="M95" s="361"/>
      <c r="N95" s="361"/>
      <c r="O95" s="361"/>
      <c r="P95" s="361"/>
      <c r="Q95" s="880"/>
      <c r="R95" s="253"/>
      <c r="S95" s="473"/>
      <c r="T95" s="371"/>
      <c r="U95" s="371"/>
      <c r="V95" s="252"/>
      <c r="W95" s="256"/>
      <c r="X95" s="255"/>
    </row>
    <row r="96" spans="1:24">
      <c r="A96" s="77">
        <v>86</v>
      </c>
      <c r="B96" s="256"/>
      <c r="C96" s="361" t="s">
        <v>781</v>
      </c>
      <c r="D96" s="361"/>
      <c r="E96" s="361"/>
      <c r="F96" s="361"/>
      <c r="G96" s="361"/>
      <c r="H96" s="361"/>
      <c r="I96" s="361"/>
      <c r="J96" s="361"/>
      <c r="K96" s="361"/>
      <c r="L96" s="361"/>
      <c r="M96" s="361"/>
      <c r="N96" s="361"/>
      <c r="O96" s="361"/>
      <c r="P96" s="361"/>
      <c r="Q96" s="765"/>
      <c r="R96" s="253"/>
      <c r="S96" s="473"/>
      <c r="T96" s="371"/>
      <c r="U96" s="371"/>
      <c r="V96" s="252"/>
      <c r="W96" s="256"/>
      <c r="X96" s="255"/>
    </row>
    <row r="97" spans="1:24">
      <c r="A97" s="77">
        <v>87</v>
      </c>
      <c r="B97" s="256"/>
      <c r="C97" s="361" t="s">
        <v>781</v>
      </c>
      <c r="D97" s="361"/>
      <c r="E97" s="361"/>
      <c r="F97" s="361"/>
      <c r="G97" s="361"/>
      <c r="H97" s="361"/>
      <c r="I97" s="361"/>
      <c r="J97" s="361"/>
      <c r="K97" s="361"/>
      <c r="L97" s="361"/>
      <c r="M97" s="361"/>
      <c r="N97" s="361"/>
      <c r="O97" s="361"/>
      <c r="P97" s="361"/>
      <c r="Q97" s="765"/>
      <c r="R97" s="253"/>
      <c r="S97" s="473"/>
      <c r="T97" s="371"/>
      <c r="U97" s="371"/>
      <c r="V97" s="252"/>
      <c r="W97" s="256"/>
      <c r="X97" s="255"/>
    </row>
    <row r="98" spans="1:24" s="256" customFormat="1" ht="14.45" customHeight="1">
      <c r="A98" s="77">
        <v>88</v>
      </c>
      <c r="C98" s="479"/>
      <c r="D98" s="479"/>
      <c r="E98" s="479"/>
      <c r="F98" s="479"/>
      <c r="G98" s="479"/>
      <c r="H98" s="479"/>
      <c r="I98" s="479"/>
      <c r="J98" s="479"/>
      <c r="K98" s="479"/>
      <c r="L98" s="479"/>
      <c r="M98" s="479"/>
      <c r="N98" s="479"/>
      <c r="O98" s="479"/>
      <c r="P98" s="479"/>
      <c r="Q98" s="877">
        <f>SUM(Q88:Q97)</f>
        <v>-1203637.0832698867</v>
      </c>
      <c r="R98" s="480" t="s">
        <v>640</v>
      </c>
      <c r="S98" s="878">
        <f>'Exhibit 6'!$D$61</f>
        <v>0.12581649289635913</v>
      </c>
      <c r="T98" s="877">
        <f>Q98*S98</f>
        <v>-151437.3965370201</v>
      </c>
      <c r="U98" s="371"/>
      <c r="V98" s="252"/>
    </row>
    <row r="99" spans="1:24" s="256" customFormat="1" ht="14.45" customHeight="1">
      <c r="A99" s="77">
        <v>89</v>
      </c>
      <c r="C99" s="479"/>
      <c r="D99" s="479"/>
      <c r="E99" s="479"/>
      <c r="F99" s="479"/>
      <c r="G99" s="479"/>
      <c r="H99" s="479"/>
      <c r="I99" s="479"/>
      <c r="J99" s="479"/>
      <c r="K99" s="479"/>
      <c r="L99" s="479"/>
      <c r="M99" s="479"/>
      <c r="N99" s="479"/>
      <c r="O99" s="479"/>
      <c r="P99" s="479"/>
      <c r="Q99" s="463"/>
      <c r="R99" s="477"/>
      <c r="S99" s="475"/>
      <c r="T99" s="463"/>
      <c r="U99" s="371"/>
      <c r="V99" s="252"/>
    </row>
    <row r="100" spans="1:24">
      <c r="A100" s="77">
        <v>90</v>
      </c>
      <c r="B100" s="256"/>
      <c r="C100" s="337" t="s">
        <v>785</v>
      </c>
      <c r="D100" s="807">
        <v>-4847.2139939094159</v>
      </c>
      <c r="E100" s="807">
        <v>-4524.3043969094151</v>
      </c>
      <c r="F100" s="807">
        <v>-4201.3947999094162</v>
      </c>
      <c r="G100" s="807">
        <v>-3878.4852029094154</v>
      </c>
      <c r="H100" s="807">
        <v>-3555.5756059094156</v>
      </c>
      <c r="I100" s="807">
        <v>-3232.6660089094157</v>
      </c>
      <c r="J100" s="807">
        <v>-2909.7564119094154</v>
      </c>
      <c r="K100" s="807">
        <v>-2586.8468149094156</v>
      </c>
      <c r="L100" s="807">
        <v>-2263.9372179094153</v>
      </c>
      <c r="M100" s="807">
        <v>-1941.0276209094156</v>
      </c>
      <c r="N100" s="807">
        <v>-1618.1180239094156</v>
      </c>
      <c r="O100" s="807">
        <v>-1295.2084269094157</v>
      </c>
      <c r="P100" s="807">
        <v>-972.29882990941542</v>
      </c>
      <c r="Q100" s="817">
        <f t="shared" ref="Q100" si="5">AVERAGE(D100:P100)</f>
        <v>-2909.7564119094159</v>
      </c>
      <c r="R100" s="477"/>
      <c r="S100" s="475"/>
      <c r="T100" s="371"/>
      <c r="U100" s="371"/>
      <c r="V100" s="252"/>
      <c r="W100" s="256"/>
      <c r="X100" s="255"/>
    </row>
    <row r="101" spans="1:24">
      <c r="A101" s="77">
        <v>91</v>
      </c>
      <c r="B101" s="256"/>
      <c r="C101" s="361" t="s">
        <v>1042</v>
      </c>
      <c r="D101" s="807">
        <v>-80813.67227760113</v>
      </c>
      <c r="E101" s="807">
        <v>-66995.321733995006</v>
      </c>
      <c r="F101" s="807">
        <v>-53176.971190388867</v>
      </c>
      <c r="G101" s="807">
        <v>-39358.620646782751</v>
      </c>
      <c r="H101" s="807">
        <v>-25609.073361783128</v>
      </c>
      <c r="I101" s="807">
        <v>-12838.938785963295</v>
      </c>
      <c r="J101" s="807">
        <v>-738.18429298505282</v>
      </c>
      <c r="K101" s="807">
        <v>-9525.5315211477391</v>
      </c>
      <c r="L101" s="807">
        <v>-45459.469792378259</v>
      </c>
      <c r="M101" s="807">
        <v>-70458.429550762565</v>
      </c>
      <c r="N101" s="807">
        <v>-76716.438346525567</v>
      </c>
      <c r="O101" s="807">
        <v>-88015.735144944934</v>
      </c>
      <c r="P101" s="807">
        <v>-88730.673390040683</v>
      </c>
      <c r="Q101" s="817">
        <f t="shared" ref="Q101" si="6">AVERAGE(D101:P101)</f>
        <v>-50649.004618099927</v>
      </c>
      <c r="R101" s="253"/>
      <c r="S101" s="473"/>
      <c r="T101" s="371"/>
      <c r="U101" s="371"/>
      <c r="V101" s="252"/>
      <c r="W101" s="256"/>
      <c r="X101" s="255"/>
    </row>
    <row r="102" spans="1:24">
      <c r="A102" s="77">
        <v>92</v>
      </c>
      <c r="B102" s="256"/>
      <c r="C102" s="361" t="s">
        <v>781</v>
      </c>
      <c r="D102" s="361"/>
      <c r="E102" s="361"/>
      <c r="F102" s="361"/>
      <c r="G102" s="361"/>
      <c r="H102" s="361"/>
      <c r="I102" s="361"/>
      <c r="J102" s="361"/>
      <c r="K102" s="361"/>
      <c r="L102" s="361"/>
      <c r="M102" s="361"/>
      <c r="N102" s="361"/>
      <c r="O102" s="361"/>
      <c r="P102" s="361"/>
      <c r="Q102" s="765"/>
      <c r="R102" s="253"/>
      <c r="S102" s="473"/>
      <c r="T102" s="371"/>
      <c r="U102" s="371"/>
      <c r="V102" s="252"/>
      <c r="W102" s="256"/>
      <c r="X102" s="255"/>
    </row>
    <row r="103" spans="1:24">
      <c r="A103" s="77">
        <v>93</v>
      </c>
      <c r="B103" s="256"/>
      <c r="C103" s="361" t="s">
        <v>781</v>
      </c>
      <c r="D103" s="361"/>
      <c r="E103" s="361"/>
      <c r="F103" s="361"/>
      <c r="G103" s="361"/>
      <c r="H103" s="361"/>
      <c r="I103" s="361"/>
      <c r="J103" s="361"/>
      <c r="K103" s="361"/>
      <c r="L103" s="361"/>
      <c r="M103" s="361"/>
      <c r="N103" s="361"/>
      <c r="O103" s="361"/>
      <c r="P103" s="361"/>
      <c r="Q103" s="765"/>
      <c r="R103" s="253"/>
      <c r="S103" s="473"/>
      <c r="T103" s="371"/>
      <c r="U103" s="371"/>
      <c r="V103" s="252"/>
      <c r="W103" s="256"/>
      <c r="X103" s="255"/>
    </row>
    <row r="104" spans="1:24">
      <c r="A104" s="77">
        <v>94</v>
      </c>
      <c r="B104" s="256"/>
      <c r="C104" s="361" t="s">
        <v>781</v>
      </c>
      <c r="D104" s="361"/>
      <c r="E104" s="361"/>
      <c r="F104" s="361"/>
      <c r="G104" s="361"/>
      <c r="H104" s="361"/>
      <c r="I104" s="361"/>
      <c r="J104" s="361"/>
      <c r="K104" s="361"/>
      <c r="L104" s="361"/>
      <c r="M104" s="361"/>
      <c r="N104" s="361"/>
      <c r="O104" s="361"/>
      <c r="P104" s="361"/>
      <c r="Q104" s="765"/>
      <c r="R104" s="253"/>
      <c r="S104" s="473"/>
      <c r="T104" s="371"/>
      <c r="U104" s="371"/>
      <c r="V104" s="252"/>
      <c r="W104" s="256"/>
      <c r="X104" s="255"/>
    </row>
    <row r="105" spans="1:24">
      <c r="A105" s="77">
        <v>95</v>
      </c>
      <c r="B105" s="256"/>
      <c r="C105" s="361" t="s">
        <v>781</v>
      </c>
      <c r="D105" s="361"/>
      <c r="E105" s="361"/>
      <c r="F105" s="361"/>
      <c r="G105" s="361"/>
      <c r="H105" s="361"/>
      <c r="I105" s="361"/>
      <c r="J105" s="361"/>
      <c r="K105" s="361"/>
      <c r="L105" s="361"/>
      <c r="M105" s="361"/>
      <c r="N105" s="361"/>
      <c r="O105" s="361"/>
      <c r="P105" s="361"/>
      <c r="Q105" s="765"/>
      <c r="R105" s="253"/>
      <c r="S105" s="473"/>
      <c r="T105" s="371"/>
      <c r="U105" s="371"/>
      <c r="V105" s="252"/>
      <c r="W105" s="256"/>
      <c r="X105" s="255"/>
    </row>
    <row r="106" spans="1:24">
      <c r="A106" s="77">
        <v>96</v>
      </c>
      <c r="B106" s="256"/>
      <c r="C106" s="361" t="s">
        <v>781</v>
      </c>
      <c r="D106" s="361"/>
      <c r="E106" s="361"/>
      <c r="F106" s="361"/>
      <c r="G106" s="361"/>
      <c r="H106" s="361"/>
      <c r="I106" s="361"/>
      <c r="J106" s="361"/>
      <c r="K106" s="361"/>
      <c r="L106" s="361"/>
      <c r="M106" s="361"/>
      <c r="N106" s="361"/>
      <c r="O106" s="361"/>
      <c r="P106" s="361"/>
      <c r="Q106" s="765"/>
      <c r="R106" s="253"/>
      <c r="S106" s="473"/>
      <c r="T106" s="371"/>
      <c r="U106" s="371"/>
      <c r="V106" s="252"/>
      <c r="W106" s="256"/>
      <c r="X106" s="255"/>
    </row>
    <row r="107" spans="1:24">
      <c r="A107" s="77">
        <v>97</v>
      </c>
      <c r="B107" s="256"/>
      <c r="C107" s="361" t="s">
        <v>781</v>
      </c>
      <c r="D107" s="361"/>
      <c r="E107" s="361"/>
      <c r="F107" s="361"/>
      <c r="G107" s="361"/>
      <c r="H107" s="361"/>
      <c r="I107" s="361"/>
      <c r="J107" s="361"/>
      <c r="K107" s="361"/>
      <c r="L107" s="361"/>
      <c r="M107" s="361"/>
      <c r="N107" s="361"/>
      <c r="O107" s="361"/>
      <c r="P107" s="361"/>
      <c r="Q107" s="765"/>
      <c r="R107" s="253"/>
      <c r="S107" s="473"/>
      <c r="T107" s="371"/>
      <c r="U107" s="371"/>
      <c r="V107" s="252"/>
      <c r="W107" s="256"/>
      <c r="X107" s="255"/>
    </row>
    <row r="108" spans="1:24">
      <c r="A108" s="77">
        <v>98</v>
      </c>
      <c r="B108" s="256"/>
      <c r="C108" s="361" t="s">
        <v>781</v>
      </c>
      <c r="D108" s="361"/>
      <c r="E108" s="361"/>
      <c r="F108" s="361"/>
      <c r="G108" s="361"/>
      <c r="H108" s="361"/>
      <c r="I108" s="361"/>
      <c r="J108" s="361"/>
      <c r="K108" s="361"/>
      <c r="L108" s="361"/>
      <c r="M108" s="361"/>
      <c r="N108" s="361"/>
      <c r="O108" s="361"/>
      <c r="P108" s="361"/>
      <c r="Q108" s="765"/>
      <c r="R108" s="253"/>
      <c r="S108" s="473"/>
      <c r="T108" s="371"/>
      <c r="U108" s="371"/>
      <c r="V108" s="252"/>
      <c r="W108" s="256"/>
      <c r="X108" s="255"/>
    </row>
    <row r="109" spans="1:24">
      <c r="A109" s="77">
        <v>99</v>
      </c>
      <c r="B109" s="256"/>
      <c r="C109" s="361" t="s">
        <v>781</v>
      </c>
      <c r="D109" s="361"/>
      <c r="E109" s="361"/>
      <c r="F109" s="361"/>
      <c r="G109" s="361"/>
      <c r="H109" s="361"/>
      <c r="I109" s="361"/>
      <c r="J109" s="361"/>
      <c r="K109" s="361"/>
      <c r="L109" s="361"/>
      <c r="M109" s="361"/>
      <c r="N109" s="361"/>
      <c r="O109" s="361"/>
      <c r="P109" s="361"/>
      <c r="Q109" s="765"/>
      <c r="R109" s="253"/>
      <c r="S109" s="473"/>
      <c r="T109" s="371"/>
      <c r="U109" s="371"/>
      <c r="V109" s="252"/>
      <c r="W109" s="256"/>
      <c r="X109" s="255"/>
    </row>
    <row r="110" spans="1:24" s="256" customFormat="1" ht="14.45" customHeight="1">
      <c r="A110" s="77">
        <v>100</v>
      </c>
      <c r="C110" s="479"/>
      <c r="D110" s="479"/>
      <c r="E110" s="479"/>
      <c r="F110" s="479"/>
      <c r="G110" s="479"/>
      <c r="H110" s="479"/>
      <c r="I110" s="479"/>
      <c r="J110" s="479"/>
      <c r="K110" s="479"/>
      <c r="L110" s="479"/>
      <c r="M110" s="479"/>
      <c r="N110" s="479"/>
      <c r="O110" s="479"/>
      <c r="P110" s="479"/>
      <c r="Q110" s="877">
        <f>SUM(Q100:Q109)</f>
        <v>-53558.761030009344</v>
      </c>
      <c r="R110" s="481" t="s">
        <v>641</v>
      </c>
      <c r="S110" s="878">
        <f>'Exhibit 6'!$D$51</f>
        <v>0.35896487525725679</v>
      </c>
      <c r="T110" s="877">
        <f>Q110*S110</f>
        <v>-19225.713972070531</v>
      </c>
      <c r="U110" s="371"/>
      <c r="V110" s="252"/>
    </row>
    <row r="111" spans="1:24" s="256" customFormat="1">
      <c r="A111" s="77">
        <v>101</v>
      </c>
      <c r="C111" s="479"/>
      <c r="D111" s="479"/>
      <c r="E111" s="479"/>
      <c r="F111" s="479"/>
      <c r="G111" s="479"/>
      <c r="H111" s="479"/>
      <c r="I111" s="479"/>
      <c r="J111" s="479"/>
      <c r="K111" s="479"/>
      <c r="L111" s="479"/>
      <c r="M111" s="479"/>
      <c r="N111" s="479"/>
      <c r="O111" s="479"/>
      <c r="P111" s="479"/>
      <c r="Q111" s="463"/>
      <c r="R111" s="253"/>
      <c r="S111" s="473"/>
      <c r="T111" s="371"/>
      <c r="U111" s="371"/>
      <c r="V111" s="252"/>
    </row>
    <row r="112" spans="1:24">
      <c r="A112" s="77">
        <v>102</v>
      </c>
      <c r="B112" s="256"/>
      <c r="C112" s="361" t="s">
        <v>781</v>
      </c>
      <c r="D112" s="361"/>
      <c r="E112" s="361"/>
      <c r="F112" s="361"/>
      <c r="G112" s="361"/>
      <c r="H112" s="361"/>
      <c r="I112" s="361"/>
      <c r="J112" s="361"/>
      <c r="K112" s="361"/>
      <c r="L112" s="361"/>
      <c r="M112" s="361"/>
      <c r="N112" s="361"/>
      <c r="O112" s="361"/>
      <c r="P112" s="361"/>
      <c r="Q112" s="765"/>
      <c r="R112" s="253"/>
      <c r="S112" s="473"/>
      <c r="T112" s="371"/>
      <c r="U112" s="371"/>
      <c r="V112" s="252"/>
      <c r="W112" s="256"/>
      <c r="X112" s="255"/>
    </row>
    <row r="113" spans="1:24">
      <c r="A113" s="77">
        <v>103</v>
      </c>
      <c r="B113" s="256"/>
      <c r="C113" s="361" t="s">
        <v>781</v>
      </c>
      <c r="D113" s="361"/>
      <c r="E113" s="361"/>
      <c r="F113" s="361"/>
      <c r="G113" s="361"/>
      <c r="H113" s="361"/>
      <c r="I113" s="361"/>
      <c r="J113" s="361"/>
      <c r="K113" s="361"/>
      <c r="L113" s="361"/>
      <c r="M113" s="361"/>
      <c r="N113" s="361"/>
      <c r="O113" s="361"/>
      <c r="P113" s="361"/>
      <c r="Q113" s="765"/>
      <c r="R113" s="253"/>
      <c r="S113" s="473"/>
      <c r="T113" s="371"/>
      <c r="U113" s="371"/>
      <c r="V113" s="252"/>
      <c r="W113" s="256"/>
      <c r="X113" s="255"/>
    </row>
    <row r="114" spans="1:24">
      <c r="A114" s="77">
        <v>104</v>
      </c>
      <c r="B114" s="256"/>
      <c r="C114" s="361" t="s">
        <v>781</v>
      </c>
      <c r="D114" s="361"/>
      <c r="E114" s="361"/>
      <c r="F114" s="361"/>
      <c r="G114" s="361"/>
      <c r="H114" s="361"/>
      <c r="I114" s="361"/>
      <c r="J114" s="361"/>
      <c r="K114" s="361"/>
      <c r="L114" s="361"/>
      <c r="M114" s="361"/>
      <c r="N114" s="361"/>
      <c r="O114" s="361"/>
      <c r="P114" s="361"/>
      <c r="Q114" s="765"/>
      <c r="R114" s="253"/>
      <c r="S114" s="473"/>
      <c r="T114" s="371"/>
      <c r="U114" s="371"/>
      <c r="V114" s="252"/>
      <c r="W114" s="256"/>
      <c r="X114" s="255"/>
    </row>
    <row r="115" spans="1:24">
      <c r="A115" s="77">
        <v>105</v>
      </c>
      <c r="B115" s="256"/>
      <c r="C115" s="361" t="s">
        <v>781</v>
      </c>
      <c r="D115" s="361"/>
      <c r="E115" s="361"/>
      <c r="F115" s="361"/>
      <c r="G115" s="361"/>
      <c r="H115" s="361"/>
      <c r="I115" s="361"/>
      <c r="J115" s="361"/>
      <c r="K115" s="361"/>
      <c r="L115" s="361"/>
      <c r="M115" s="361"/>
      <c r="N115" s="361"/>
      <c r="O115" s="361"/>
      <c r="P115" s="361"/>
      <c r="Q115" s="765"/>
      <c r="R115" s="253"/>
      <c r="S115" s="473"/>
      <c r="T115" s="371"/>
      <c r="U115" s="371"/>
      <c r="V115" s="252"/>
      <c r="W115" s="256"/>
      <c r="X115" s="255"/>
    </row>
    <row r="116" spans="1:24">
      <c r="A116" s="77">
        <v>106</v>
      </c>
      <c r="B116" s="256"/>
      <c r="C116" s="361" t="s">
        <v>781</v>
      </c>
      <c r="D116" s="361"/>
      <c r="E116" s="361"/>
      <c r="F116" s="361"/>
      <c r="G116" s="361"/>
      <c r="H116" s="361"/>
      <c r="I116" s="361"/>
      <c r="J116" s="361"/>
      <c r="K116" s="361"/>
      <c r="L116" s="361"/>
      <c r="M116" s="361"/>
      <c r="N116" s="361"/>
      <c r="O116" s="361"/>
      <c r="P116" s="361"/>
      <c r="Q116" s="765"/>
      <c r="R116" s="253"/>
      <c r="S116" s="473"/>
      <c r="T116" s="371"/>
      <c r="U116" s="371"/>
      <c r="V116" s="252"/>
      <c r="W116" s="256"/>
      <c r="X116" s="255"/>
    </row>
    <row r="117" spans="1:24">
      <c r="A117" s="77">
        <v>107</v>
      </c>
      <c r="B117" s="256"/>
      <c r="C117" s="361" t="s">
        <v>781</v>
      </c>
      <c r="D117" s="361"/>
      <c r="E117" s="361"/>
      <c r="F117" s="361"/>
      <c r="G117" s="361"/>
      <c r="H117" s="361"/>
      <c r="I117" s="361"/>
      <c r="J117" s="361"/>
      <c r="K117" s="361"/>
      <c r="L117" s="361"/>
      <c r="M117" s="361"/>
      <c r="N117" s="361"/>
      <c r="O117" s="361"/>
      <c r="P117" s="361"/>
      <c r="Q117" s="765"/>
      <c r="R117" s="253"/>
      <c r="S117" s="473"/>
      <c r="T117" s="371"/>
      <c r="U117" s="371"/>
      <c r="V117" s="252"/>
      <c r="W117" s="256"/>
      <c r="X117" s="255"/>
    </row>
    <row r="118" spans="1:24">
      <c r="A118" s="77">
        <v>108</v>
      </c>
      <c r="B118" s="256"/>
      <c r="C118" s="361" t="s">
        <v>781</v>
      </c>
      <c r="D118" s="361"/>
      <c r="E118" s="361"/>
      <c r="F118" s="361"/>
      <c r="G118" s="361"/>
      <c r="H118" s="361"/>
      <c r="I118" s="361"/>
      <c r="J118" s="361"/>
      <c r="K118" s="361"/>
      <c r="L118" s="361"/>
      <c r="M118" s="361"/>
      <c r="N118" s="361"/>
      <c r="O118" s="361"/>
      <c r="P118" s="361"/>
      <c r="Q118" s="765"/>
      <c r="R118" s="253"/>
      <c r="S118" s="473"/>
      <c r="T118" s="371"/>
      <c r="U118" s="371"/>
      <c r="V118" s="252"/>
      <c r="W118" s="256"/>
      <c r="X118" s="255"/>
    </row>
    <row r="119" spans="1:24">
      <c r="A119" s="77">
        <v>109</v>
      </c>
      <c r="B119" s="256"/>
      <c r="C119" s="361" t="s">
        <v>781</v>
      </c>
      <c r="D119" s="361"/>
      <c r="E119" s="361"/>
      <c r="F119" s="361"/>
      <c r="G119" s="361"/>
      <c r="H119" s="361"/>
      <c r="I119" s="361"/>
      <c r="J119" s="361"/>
      <c r="K119" s="361"/>
      <c r="L119" s="361"/>
      <c r="M119" s="361"/>
      <c r="N119" s="361"/>
      <c r="O119" s="361"/>
      <c r="P119" s="361"/>
      <c r="Q119" s="765"/>
      <c r="R119" s="253"/>
      <c r="S119" s="473"/>
      <c r="T119" s="371"/>
      <c r="U119" s="371"/>
      <c r="V119" s="252"/>
      <c r="W119" s="256"/>
      <c r="X119" s="255"/>
    </row>
    <row r="120" spans="1:24">
      <c r="A120" s="77">
        <v>110</v>
      </c>
      <c r="B120" s="256"/>
      <c r="C120" s="361" t="s">
        <v>781</v>
      </c>
      <c r="D120" s="361"/>
      <c r="E120" s="361"/>
      <c r="F120" s="361"/>
      <c r="G120" s="361"/>
      <c r="H120" s="361"/>
      <c r="I120" s="361"/>
      <c r="J120" s="361"/>
      <c r="K120" s="361"/>
      <c r="L120" s="361"/>
      <c r="M120" s="361"/>
      <c r="N120" s="361"/>
      <c r="O120" s="361"/>
      <c r="P120" s="361"/>
      <c r="Q120" s="765"/>
      <c r="R120" s="253"/>
      <c r="S120" s="473"/>
      <c r="T120" s="371"/>
      <c r="U120" s="371"/>
      <c r="V120" s="252"/>
      <c r="W120" s="256"/>
      <c r="X120" s="255"/>
    </row>
    <row r="121" spans="1:24">
      <c r="A121" s="77">
        <v>111</v>
      </c>
      <c r="B121" s="256"/>
      <c r="C121" s="361" t="s">
        <v>781</v>
      </c>
      <c r="D121" s="361"/>
      <c r="E121" s="361"/>
      <c r="F121" s="361"/>
      <c r="G121" s="361"/>
      <c r="H121" s="361"/>
      <c r="I121" s="361"/>
      <c r="J121" s="361"/>
      <c r="K121" s="361"/>
      <c r="L121" s="361"/>
      <c r="M121" s="361"/>
      <c r="N121" s="361"/>
      <c r="O121" s="361"/>
      <c r="P121" s="361"/>
      <c r="Q121" s="765"/>
      <c r="R121" s="253"/>
      <c r="S121" s="473"/>
      <c r="T121" s="371"/>
      <c r="U121" s="371"/>
      <c r="V121" s="252"/>
      <c r="W121" s="256"/>
      <c r="X121" s="255"/>
    </row>
    <row r="122" spans="1:24" s="256" customFormat="1" ht="14.45" customHeight="1">
      <c r="A122" s="77">
        <v>112</v>
      </c>
      <c r="C122" s="479"/>
      <c r="D122" s="479"/>
      <c r="E122" s="479"/>
      <c r="F122" s="479"/>
      <c r="G122" s="479"/>
      <c r="H122" s="479"/>
      <c r="I122" s="479"/>
      <c r="J122" s="479"/>
      <c r="K122" s="479"/>
      <c r="L122" s="479"/>
      <c r="M122" s="479"/>
      <c r="N122" s="479"/>
      <c r="O122" s="479"/>
      <c r="P122" s="479"/>
      <c r="Q122" s="877">
        <f>SUM(Q112:Q121)</f>
        <v>0</v>
      </c>
      <c r="R122" s="481" t="s">
        <v>642</v>
      </c>
      <c r="S122" s="878">
        <f>'Exhibit 6'!$D$55</f>
        <v>0.29969181559056945</v>
      </c>
      <c r="T122" s="877">
        <f>Q122*S122</f>
        <v>0</v>
      </c>
      <c r="U122" s="371"/>
      <c r="V122" s="252"/>
    </row>
    <row r="123" spans="1:24">
      <c r="A123" s="77">
        <v>113</v>
      </c>
      <c r="B123" s="256"/>
      <c r="C123" s="482" t="s">
        <v>126</v>
      </c>
      <c r="D123" s="482"/>
      <c r="E123" s="482"/>
      <c r="F123" s="482"/>
      <c r="G123" s="482"/>
      <c r="H123" s="482"/>
      <c r="I123" s="482"/>
      <c r="J123" s="482"/>
      <c r="K123" s="482"/>
      <c r="L123" s="482"/>
      <c r="M123" s="482"/>
      <c r="N123" s="482"/>
      <c r="O123" s="482"/>
      <c r="P123" s="482"/>
      <c r="Q123" s="483"/>
      <c r="R123" s="237"/>
      <c r="S123" s="484"/>
      <c r="T123" s="879">
        <f>SUM(T98,T110,T122)</f>
        <v>-170663.11050909065</v>
      </c>
      <c r="U123" s="463"/>
      <c r="V123" s="252" t="s">
        <v>659</v>
      </c>
      <c r="W123" s="256"/>
      <c r="X123" s="255"/>
    </row>
  </sheetData>
  <mergeCells count="3">
    <mergeCell ref="R6:S6"/>
    <mergeCell ref="R8:S8"/>
    <mergeCell ref="R9:S9"/>
  </mergeCells>
  <pageMargins left="0.5" right="0.5" top="0.5" bottom="0.5" header="0" footer="0"/>
  <pageSetup paperSize="5" scale="44" fitToHeight="0" orientation="landscape"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19"/>
  <sheetViews>
    <sheetView view="pageBreakPreview" zoomScale="81" zoomScaleNormal="85" zoomScaleSheetLayoutView="81" workbookViewId="0"/>
  </sheetViews>
  <sheetFormatPr defaultColWidth="8.88671875" defaultRowHeight="14.25"/>
  <cols>
    <col min="1" max="1" width="3.88671875" style="573" customWidth="1"/>
    <col min="2" max="2" width="42.6640625" style="573" customWidth="1"/>
    <col min="3" max="15" width="11.77734375" style="573" customWidth="1"/>
    <col min="16" max="16" width="3" style="573" customWidth="1"/>
    <col min="17" max="17" width="32" style="573" bestFit="1" customWidth="1"/>
    <col min="18" max="16384" width="8.88671875" style="573"/>
  </cols>
  <sheetData>
    <row r="1" spans="1:17" ht="15">
      <c r="A1" s="259" t="str">
        <f>'Exhibit 1a'!A1</f>
        <v>VERSANT POWER – MAINE PUBLIC DISTRICT OATT</v>
      </c>
      <c r="Q1" s="196" t="s">
        <v>48</v>
      </c>
    </row>
    <row r="2" spans="1:17" ht="15">
      <c r="A2" s="259" t="str">
        <f>'Exhibit 1a'!A2</f>
        <v>ATTACHMENT J FORMULA RATES</v>
      </c>
      <c r="Q2" s="94" t="s">
        <v>892</v>
      </c>
    </row>
    <row r="3" spans="1:17" ht="15">
      <c r="A3" s="259" t="str">
        <f>'Exhibit 1a'!A3</f>
        <v>RATE YEAR JUNE 1, 2020 TO MAY 31, 2021</v>
      </c>
    </row>
    <row r="4" spans="1:17" ht="15">
      <c r="A4" s="259" t="str">
        <f>'Exhibit 1a'!A4</f>
        <v>Actual ATRR &amp; CHARGES BASED ON ACTUAL CY 2020 VALUES</v>
      </c>
    </row>
    <row r="5" spans="1:17" ht="15">
      <c r="A5" s="276"/>
    </row>
    <row r="6" spans="1:17" ht="15">
      <c r="A6" s="54" t="s">
        <v>891</v>
      </c>
      <c r="C6" s="424" t="s">
        <v>66</v>
      </c>
      <c r="D6" s="424" t="s">
        <v>43</v>
      </c>
      <c r="E6" s="424" t="s">
        <v>65</v>
      </c>
      <c r="F6" s="424" t="s">
        <v>64</v>
      </c>
      <c r="G6" s="424" t="s">
        <v>63</v>
      </c>
      <c r="H6" s="424" t="s">
        <v>62</v>
      </c>
      <c r="I6" s="424" t="s">
        <v>368</v>
      </c>
      <c r="J6" s="424" t="s">
        <v>369</v>
      </c>
      <c r="K6" s="424" t="s">
        <v>370</v>
      </c>
      <c r="L6" s="424" t="s">
        <v>371</v>
      </c>
      <c r="M6" s="424" t="s">
        <v>372</v>
      </c>
      <c r="N6" s="424" t="s">
        <v>373</v>
      </c>
      <c r="O6" s="466" t="s">
        <v>374</v>
      </c>
    </row>
    <row r="7" spans="1:17" ht="15">
      <c r="B7" s="574"/>
      <c r="C7" s="468"/>
      <c r="D7" s="468"/>
      <c r="E7" s="468"/>
      <c r="F7" s="468"/>
      <c r="G7" s="468"/>
      <c r="H7" s="468"/>
      <c r="I7" s="468"/>
      <c r="J7" s="468"/>
      <c r="K7" s="468"/>
      <c r="L7" s="468"/>
      <c r="M7" s="468"/>
      <c r="N7" s="468"/>
      <c r="O7" s="468"/>
    </row>
    <row r="8" spans="1:17" ht="15">
      <c r="B8" s="574"/>
      <c r="C8" s="425" t="s">
        <v>350</v>
      </c>
      <c r="D8" s="425" t="s">
        <v>349</v>
      </c>
      <c r="E8" s="425" t="s">
        <v>351</v>
      </c>
      <c r="F8" s="425" t="s">
        <v>352</v>
      </c>
      <c r="G8" s="425" t="s">
        <v>353</v>
      </c>
      <c r="H8" s="425" t="s">
        <v>235</v>
      </c>
      <c r="I8" s="425" t="s">
        <v>354</v>
      </c>
      <c r="J8" s="425" t="s">
        <v>355</v>
      </c>
      <c r="K8" s="425" t="s">
        <v>356</v>
      </c>
      <c r="L8" s="425" t="s">
        <v>357</v>
      </c>
      <c r="M8" s="425" t="s">
        <v>358</v>
      </c>
      <c r="N8" s="425" t="s">
        <v>359</v>
      </c>
      <c r="O8" s="425" t="s">
        <v>350</v>
      </c>
    </row>
    <row r="9" spans="1:17" ht="15">
      <c r="A9" s="223" t="s">
        <v>14</v>
      </c>
      <c r="B9" s="249" t="s">
        <v>13</v>
      </c>
      <c r="C9" s="426">
        <f>D9-1</f>
        <v>2019</v>
      </c>
      <c r="D9" s="426">
        <f>'WP EADIT Amortization'!C10</f>
        <v>2020</v>
      </c>
      <c r="E9" s="426">
        <f>D9</f>
        <v>2020</v>
      </c>
      <c r="F9" s="426">
        <f t="shared" ref="F9:O9" si="0">E9</f>
        <v>2020</v>
      </c>
      <c r="G9" s="426">
        <f t="shared" si="0"/>
        <v>2020</v>
      </c>
      <c r="H9" s="426">
        <f t="shared" si="0"/>
        <v>2020</v>
      </c>
      <c r="I9" s="426">
        <f t="shared" si="0"/>
        <v>2020</v>
      </c>
      <c r="J9" s="426">
        <f t="shared" si="0"/>
        <v>2020</v>
      </c>
      <c r="K9" s="426">
        <f t="shared" si="0"/>
        <v>2020</v>
      </c>
      <c r="L9" s="426">
        <f t="shared" si="0"/>
        <v>2020</v>
      </c>
      <c r="M9" s="426">
        <f t="shared" si="0"/>
        <v>2020</v>
      </c>
      <c r="N9" s="426">
        <f t="shared" si="0"/>
        <v>2020</v>
      </c>
      <c r="O9" s="426">
        <f t="shared" si="0"/>
        <v>2020</v>
      </c>
      <c r="P9" s="188"/>
      <c r="Q9" s="167" t="s">
        <v>25</v>
      </c>
    </row>
    <row r="10" spans="1:17">
      <c r="C10" s="575"/>
      <c r="D10" s="575"/>
      <c r="E10" s="575"/>
      <c r="F10" s="575"/>
      <c r="G10" s="575"/>
      <c r="H10" s="575"/>
      <c r="I10" s="575"/>
      <c r="J10" s="575"/>
      <c r="K10" s="575"/>
      <c r="L10" s="575"/>
      <c r="M10" s="575"/>
      <c r="N10" s="575"/>
      <c r="O10" s="575"/>
    </row>
    <row r="11" spans="1:17">
      <c r="A11" s="582">
        <v>1</v>
      </c>
      <c r="B11" s="573" t="s">
        <v>872</v>
      </c>
      <c r="C11" s="584">
        <f>'WP EADIT Amortization'!E25</f>
        <v>-2236034.90630204</v>
      </c>
      <c r="D11" s="585">
        <f>'WP EADIT Amortization'!E26</f>
        <v>-2231312.5631671743</v>
      </c>
      <c r="E11" s="585">
        <f>'WP EADIT Amortization'!E27</f>
        <v>-2226590.2200323087</v>
      </c>
      <c r="F11" s="585">
        <f>'WP EADIT Amortization'!E28</f>
        <v>-2221867.8768974431</v>
      </c>
      <c r="G11" s="585">
        <f>'WP EADIT Amortization'!E29</f>
        <v>-2217145.5337625775</v>
      </c>
      <c r="H11" s="585">
        <f>'WP EADIT Amortization'!E30</f>
        <v>-2212423.1906277118</v>
      </c>
      <c r="I11" s="585">
        <f>'WP EADIT Amortization'!E31</f>
        <v>-2207700.8474928462</v>
      </c>
      <c r="J11" s="585">
        <f>'WP EADIT Amortization'!E32</f>
        <v>-2202978.5043579806</v>
      </c>
      <c r="K11" s="585">
        <f>'WP EADIT Amortization'!E33</f>
        <v>-2198256.1612231149</v>
      </c>
      <c r="L11" s="585">
        <f>'WP EADIT Amortization'!E34</f>
        <v>-2193533.8180882493</v>
      </c>
      <c r="M11" s="585">
        <f>'WP EADIT Amortization'!E35</f>
        <v>-2188811.4749533837</v>
      </c>
      <c r="N11" s="585">
        <f>'WP EADIT Amortization'!E36</f>
        <v>-2184089.131818518</v>
      </c>
      <c r="O11" s="585">
        <f>'WP EADIT Amortization'!E37</f>
        <v>-2179366.7886836524</v>
      </c>
      <c r="P11" s="576"/>
      <c r="Q11" s="933" t="s">
        <v>1206</v>
      </c>
    </row>
    <row r="12" spans="1:17">
      <c r="A12" s="582">
        <v>2</v>
      </c>
      <c r="B12" s="573" t="s">
        <v>873</v>
      </c>
      <c r="C12" s="584">
        <f>'WP EADIT Amortization'!F25</f>
        <v>-899104.57467172982</v>
      </c>
      <c r="D12" s="584">
        <f>'WP EADIT Amortization'!F26</f>
        <v>-889738.90202780173</v>
      </c>
      <c r="E12" s="585">
        <f>'WP EADIT Amortization'!F27</f>
        <v>-880373.22938387364</v>
      </c>
      <c r="F12" s="585">
        <f>'WP EADIT Amortization'!F28</f>
        <v>-871007.55673994555</v>
      </c>
      <c r="G12" s="585">
        <f>'WP EADIT Amortization'!F29</f>
        <v>-861641.88409601746</v>
      </c>
      <c r="H12" s="585">
        <f>'WP EADIT Amortization'!F30</f>
        <v>-852276.21145208937</v>
      </c>
      <c r="I12" s="585">
        <f>'WP EADIT Amortization'!F31</f>
        <v>-842910.53880816128</v>
      </c>
      <c r="J12" s="585">
        <f>'WP EADIT Amortization'!F32</f>
        <v>-833544.86616423319</v>
      </c>
      <c r="K12" s="585">
        <f>'WP EADIT Amortization'!F33</f>
        <v>-824179.1935203051</v>
      </c>
      <c r="L12" s="585">
        <f>'WP EADIT Amortization'!F34</f>
        <v>-814813.52087637701</v>
      </c>
      <c r="M12" s="585">
        <f>'WP EADIT Amortization'!F35</f>
        <v>-805447.84823244892</v>
      </c>
      <c r="N12" s="585">
        <f>'WP EADIT Amortization'!F36</f>
        <v>-796082.17558852083</v>
      </c>
      <c r="O12" s="585">
        <f>'WP EADIT Amortization'!F37</f>
        <v>-786716.50294459274</v>
      </c>
      <c r="P12" s="576"/>
      <c r="Q12" s="933" t="s">
        <v>1207</v>
      </c>
    </row>
    <row r="13" spans="1:17" ht="15" thickBot="1">
      <c r="A13" s="582">
        <v>3</v>
      </c>
      <c r="B13" s="581" t="s">
        <v>874</v>
      </c>
      <c r="C13" s="599">
        <f>SUM(C11:C12)</f>
        <v>-3135139.4809737699</v>
      </c>
      <c r="D13" s="599">
        <f t="shared" ref="D13:O13" si="1">SUM(D11:D12)</f>
        <v>-3121051.465194976</v>
      </c>
      <c r="E13" s="599">
        <f t="shared" si="1"/>
        <v>-3106963.4494161825</v>
      </c>
      <c r="F13" s="599">
        <f t="shared" si="1"/>
        <v>-3092875.4336373885</v>
      </c>
      <c r="G13" s="599">
        <f t="shared" si="1"/>
        <v>-3078787.417858595</v>
      </c>
      <c r="H13" s="599">
        <f t="shared" si="1"/>
        <v>-3064699.4020798011</v>
      </c>
      <c r="I13" s="599">
        <f t="shared" si="1"/>
        <v>-3050611.3863010076</v>
      </c>
      <c r="J13" s="599">
        <f t="shared" si="1"/>
        <v>-3036523.3705222136</v>
      </c>
      <c r="K13" s="599">
        <f t="shared" si="1"/>
        <v>-3022435.3547434201</v>
      </c>
      <c r="L13" s="599">
        <f t="shared" si="1"/>
        <v>-3008347.3389646262</v>
      </c>
      <c r="M13" s="599">
        <f t="shared" si="1"/>
        <v>-2994259.3231858327</v>
      </c>
      <c r="N13" s="599">
        <f t="shared" si="1"/>
        <v>-2980171.3074070388</v>
      </c>
      <c r="O13" s="599">
        <f t="shared" si="1"/>
        <v>-2966083.2916282453</v>
      </c>
      <c r="Q13" s="933" t="s">
        <v>875</v>
      </c>
    </row>
    <row r="14" spans="1:17" ht="15" thickTop="1">
      <c r="A14" s="582">
        <v>4</v>
      </c>
      <c r="B14" s="577"/>
      <c r="Q14" s="933"/>
    </row>
    <row r="15" spans="1:17">
      <c r="A15" s="582">
        <v>5</v>
      </c>
      <c r="B15" s="583" t="s">
        <v>870</v>
      </c>
      <c r="C15" s="586">
        <f>'WP LNS Allocator'!C30</f>
        <v>0.88318305930267471</v>
      </c>
      <c r="Q15" s="934" t="s">
        <v>1208</v>
      </c>
    </row>
    <row r="16" spans="1:17">
      <c r="A16" s="582">
        <v>6</v>
      </c>
      <c r="B16" s="591" t="s">
        <v>871</v>
      </c>
      <c r="C16" s="592">
        <f t="shared" ref="C16:O16" si="2">C13*$C15</f>
        <v>-2768902.0781470137</v>
      </c>
      <c r="D16" s="592">
        <f t="shared" si="2"/>
        <v>-2756459.7812719941</v>
      </c>
      <c r="E16" s="592">
        <f t="shared" si="2"/>
        <v>-2744017.484396975</v>
      </c>
      <c r="F16" s="592">
        <f t="shared" si="2"/>
        <v>-2731575.1875219555</v>
      </c>
      <c r="G16" s="592">
        <f t="shared" si="2"/>
        <v>-2719132.8906469364</v>
      </c>
      <c r="H16" s="592">
        <f t="shared" si="2"/>
        <v>-2706690.5937719168</v>
      </c>
      <c r="I16" s="592">
        <f t="shared" si="2"/>
        <v>-2694248.2968968977</v>
      </c>
      <c r="J16" s="592">
        <f t="shared" si="2"/>
        <v>-2681806.0000218777</v>
      </c>
      <c r="K16" s="592">
        <f t="shared" si="2"/>
        <v>-2669363.7031468586</v>
      </c>
      <c r="L16" s="592">
        <f t="shared" si="2"/>
        <v>-2656921.406271839</v>
      </c>
      <c r="M16" s="592">
        <f t="shared" si="2"/>
        <v>-2644479.10939682</v>
      </c>
      <c r="N16" s="592">
        <f t="shared" si="2"/>
        <v>-2632036.8125218004</v>
      </c>
      <c r="O16" s="592">
        <f t="shared" si="2"/>
        <v>-2619594.5156467813</v>
      </c>
      <c r="Q16" s="573" t="s">
        <v>876</v>
      </c>
    </row>
    <row r="17" spans="1:15">
      <c r="A17" s="582"/>
      <c r="O17" s="576"/>
    </row>
    <row r="19" spans="1:15">
      <c r="C19" s="609"/>
    </row>
  </sheetData>
  <pageMargins left="0.5" right="0.5" top="0.5" bottom="0.5" header="0" footer="0"/>
  <pageSetup paperSize="5"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43"/>
  <sheetViews>
    <sheetView view="pageBreakPreview" zoomScale="81" zoomScaleNormal="85" zoomScaleSheetLayoutView="81" workbookViewId="0"/>
  </sheetViews>
  <sheetFormatPr defaultColWidth="8.88671875" defaultRowHeight="14.25"/>
  <cols>
    <col min="1" max="1" width="3.88671875" style="573" customWidth="1"/>
    <col min="2" max="2" width="9.88671875" style="573" customWidth="1"/>
    <col min="3" max="3" width="5.88671875" style="573" customWidth="1"/>
    <col min="4" max="4" width="10.33203125" style="577" customWidth="1"/>
    <col min="5" max="6" width="10.109375" style="573" customWidth="1"/>
    <col min="7" max="7" width="3.5546875" style="573" customWidth="1"/>
    <col min="8" max="8" width="7.21875" style="573" customWidth="1"/>
    <col min="9" max="9" width="12.5546875" style="573" customWidth="1"/>
    <col min="10" max="10" width="2.77734375" style="573" customWidth="1"/>
    <col min="11" max="11" width="60.33203125" style="573" bestFit="1" customWidth="1"/>
    <col min="12" max="12" width="18.6640625" style="573" customWidth="1"/>
    <col min="13" max="16384" width="8.88671875" style="573"/>
  </cols>
  <sheetData>
    <row r="1" spans="1:11" ht="15">
      <c r="A1" s="259" t="str">
        <f>'Exhibit 1a'!A1</f>
        <v>VERSANT POWER – MAINE PUBLIC DISTRICT OATT</v>
      </c>
      <c r="K1" s="196" t="s">
        <v>48</v>
      </c>
    </row>
    <row r="2" spans="1:11" ht="15">
      <c r="A2" s="259" t="str">
        <f>'Exhibit 1a'!A2</f>
        <v>ATTACHMENT J FORMULA RATES</v>
      </c>
      <c r="K2" s="94" t="s">
        <v>887</v>
      </c>
    </row>
    <row r="3" spans="1:11" ht="15">
      <c r="A3" s="259" t="str">
        <f>'Exhibit 1a'!A3</f>
        <v>RATE YEAR JUNE 1, 2020 TO MAY 31, 2021</v>
      </c>
    </row>
    <row r="4" spans="1:11" ht="15">
      <c r="A4" s="259" t="str">
        <f>'Exhibit 1a'!A4</f>
        <v>Actual ATRR &amp; CHARGES BASED ON ACTUAL CY 2020 VALUES</v>
      </c>
    </row>
    <row r="5" spans="1:11" ht="15">
      <c r="A5" s="276"/>
    </row>
    <row r="6" spans="1:11" ht="15">
      <c r="A6" s="54" t="s">
        <v>888</v>
      </c>
    </row>
    <row r="7" spans="1:11" ht="15">
      <c r="J7" s="424"/>
      <c r="K7" s="424"/>
    </row>
    <row r="8" spans="1:11" s="582" customFormat="1" ht="15">
      <c r="A8" s="223" t="s">
        <v>14</v>
      </c>
      <c r="B8" s="594" t="s">
        <v>13</v>
      </c>
      <c r="C8" s="247"/>
      <c r="D8" s="247"/>
      <c r="E8" s="247"/>
      <c r="F8" s="247"/>
      <c r="G8" s="247"/>
      <c r="H8" s="247"/>
      <c r="I8" s="247" t="s">
        <v>66</v>
      </c>
      <c r="J8" s="188"/>
      <c r="K8" s="167" t="s">
        <v>25</v>
      </c>
    </row>
    <row r="10" spans="1:11">
      <c r="A10" s="582">
        <v>1</v>
      </c>
      <c r="B10" s="573" t="s">
        <v>270</v>
      </c>
      <c r="C10" s="916">
        <v>2020</v>
      </c>
    </row>
    <row r="11" spans="1:11">
      <c r="A11" s="582">
        <v>2</v>
      </c>
    </row>
    <row r="12" spans="1:11">
      <c r="A12" s="582">
        <v>3</v>
      </c>
      <c r="B12" s="255" t="s">
        <v>889</v>
      </c>
      <c r="C12" s="255"/>
      <c r="D12" s="256"/>
      <c r="E12" s="255"/>
      <c r="F12" s="255"/>
      <c r="G12" s="255"/>
      <c r="I12" s="584">
        <f>HLOOKUP(C10,'WP Amortization Study Run Out'!$B$9:$AQ$23,15,FALSE)*'WP EADIT Allocators'!D11</f>
        <v>-56668.117618387667</v>
      </c>
      <c r="K12" s="573" t="s">
        <v>1156</v>
      </c>
    </row>
    <row r="13" spans="1:11">
      <c r="A13" s="582">
        <v>4</v>
      </c>
      <c r="B13" s="255" t="s">
        <v>890</v>
      </c>
      <c r="C13" s="255"/>
      <c r="D13" s="256"/>
      <c r="E13" s="255"/>
      <c r="F13" s="255"/>
      <c r="G13" s="255"/>
      <c r="I13" s="584">
        <f>'WP EADIT Allocators'!D16*'WP Unprotected EADIT Amort'!D15</f>
        <v>-112388.07172713723</v>
      </c>
      <c r="K13" s="573" t="s">
        <v>1146</v>
      </c>
    </row>
    <row r="14" spans="1:11">
      <c r="A14" s="582">
        <v>5</v>
      </c>
      <c r="B14" s="606" t="s">
        <v>245</v>
      </c>
      <c r="C14" s="606"/>
      <c r="D14" s="607"/>
      <c r="E14" s="606"/>
      <c r="F14" s="606"/>
      <c r="G14" s="606"/>
      <c r="H14" s="606"/>
      <c r="I14" s="884">
        <f>I13+I12</f>
        <v>-169056.18934552488</v>
      </c>
      <c r="K14" s="573" t="s">
        <v>1070</v>
      </c>
    </row>
    <row r="15" spans="1:11">
      <c r="A15" s="582">
        <v>6</v>
      </c>
      <c r="B15" s="573" t="s">
        <v>870</v>
      </c>
      <c r="I15" s="590">
        <f>'WP LNS Allocator'!C30</f>
        <v>0.88318305930267471</v>
      </c>
      <c r="K15" s="577" t="s">
        <v>1142</v>
      </c>
    </row>
    <row r="16" spans="1:11">
      <c r="A16" s="582">
        <v>7</v>
      </c>
      <c r="B16" s="588" t="s">
        <v>1159</v>
      </c>
      <c r="C16" s="588"/>
      <c r="D16" s="591"/>
      <c r="E16" s="588"/>
      <c r="F16" s="588"/>
      <c r="G16" s="588"/>
      <c r="H16" s="588"/>
      <c r="I16" s="589">
        <f>I14*I15</f>
        <v>-149307.56250023292</v>
      </c>
      <c r="K16" s="573" t="s">
        <v>1161</v>
      </c>
    </row>
    <row r="17" spans="1:11">
      <c r="I17" s="578"/>
    </row>
    <row r="18" spans="1:11">
      <c r="A18" s="582"/>
      <c r="I18" s="578"/>
    </row>
    <row r="19" spans="1:11" s="582" customFormat="1" ht="15">
      <c r="A19" s="223" t="s">
        <v>14</v>
      </c>
      <c r="B19" s="594" t="s">
        <v>13</v>
      </c>
      <c r="C19" s="247" t="s">
        <v>66</v>
      </c>
      <c r="D19" s="247" t="s">
        <v>43</v>
      </c>
      <c r="E19" s="247" t="s">
        <v>65</v>
      </c>
      <c r="F19" s="247" t="s">
        <v>64</v>
      </c>
      <c r="G19" s="247"/>
      <c r="H19" s="950" t="s">
        <v>25</v>
      </c>
      <c r="I19" s="950"/>
      <c r="J19" s="950"/>
      <c r="K19" s="950"/>
    </row>
    <row r="20" spans="1:11">
      <c r="A20" s="582"/>
      <c r="I20" s="578"/>
    </row>
    <row r="21" spans="1:11">
      <c r="A21" s="582"/>
      <c r="E21" s="582" t="s">
        <v>896</v>
      </c>
      <c r="F21" s="582" t="s">
        <v>897</v>
      </c>
      <c r="I21" s="578"/>
    </row>
    <row r="22" spans="1:11">
      <c r="A22" s="582">
        <v>8</v>
      </c>
      <c r="B22" s="573" t="s">
        <v>877</v>
      </c>
      <c r="E22" s="883">
        <f>I12/12</f>
        <v>-4722.3431348656386</v>
      </c>
      <c r="F22" s="883">
        <f>I13/12</f>
        <v>-9365.6726439281028</v>
      </c>
      <c r="H22" s="949" t="s">
        <v>1167</v>
      </c>
      <c r="I22" s="949"/>
    </row>
    <row r="23" spans="1:11">
      <c r="A23" s="582">
        <v>9</v>
      </c>
      <c r="H23" s="949"/>
      <c r="I23" s="949"/>
    </row>
    <row r="24" spans="1:11">
      <c r="A24" s="582">
        <v>10</v>
      </c>
      <c r="B24" s="573" t="s">
        <v>895</v>
      </c>
      <c r="E24" s="582" t="s">
        <v>896</v>
      </c>
      <c r="F24" s="582" t="s">
        <v>897</v>
      </c>
      <c r="H24" s="949"/>
      <c r="I24" s="949"/>
    </row>
    <row r="25" spans="1:11">
      <c r="A25" s="582">
        <v>11</v>
      </c>
      <c r="B25" s="583" t="s">
        <v>221</v>
      </c>
      <c r="C25" s="462">
        <f>C26-1</f>
        <v>2019</v>
      </c>
      <c r="D25" s="252"/>
      <c r="E25" s="883">
        <v>-2236034.90630204</v>
      </c>
      <c r="F25" s="883">
        <v>-899104.57467172982</v>
      </c>
      <c r="G25" s="583"/>
      <c r="H25" s="608" t="s">
        <v>1160</v>
      </c>
      <c r="I25" s="608"/>
      <c r="J25" s="608"/>
      <c r="K25" s="608"/>
    </row>
    <row r="26" spans="1:11">
      <c r="A26" s="582">
        <v>12</v>
      </c>
      <c r="B26" s="587" t="s">
        <v>243</v>
      </c>
      <c r="C26" s="462">
        <f>C10</f>
        <v>2020</v>
      </c>
      <c r="D26" s="252"/>
      <c r="E26" s="883">
        <f>E25-$E$22</f>
        <v>-2231312.5631671743</v>
      </c>
      <c r="F26" s="883">
        <f>F25-$F$22</f>
        <v>-889738.90202780173</v>
      </c>
      <c r="G26" s="587"/>
      <c r="H26" s="949" t="s">
        <v>898</v>
      </c>
      <c r="I26" s="949"/>
    </row>
    <row r="27" spans="1:11">
      <c r="A27" s="582">
        <v>13</v>
      </c>
      <c r="B27" s="587" t="s">
        <v>241</v>
      </c>
      <c r="C27" s="462">
        <f>C26</f>
        <v>2020</v>
      </c>
      <c r="D27" s="252"/>
      <c r="E27" s="584">
        <f>E26-$E$22</f>
        <v>-2226590.2200323087</v>
      </c>
      <c r="F27" s="584">
        <f>F26-$F$22</f>
        <v>-880373.22938387364</v>
      </c>
      <c r="G27" s="587"/>
      <c r="H27" s="949" t="s">
        <v>899</v>
      </c>
      <c r="I27" s="949"/>
    </row>
    <row r="28" spans="1:11">
      <c r="A28" s="582">
        <v>14</v>
      </c>
      <c r="B28" s="587" t="s">
        <v>239</v>
      </c>
      <c r="C28" s="462">
        <f t="shared" ref="C28:C37" si="0">C27</f>
        <v>2020</v>
      </c>
      <c r="D28" s="252"/>
      <c r="E28" s="584">
        <f t="shared" ref="E28:E37" si="1">E27-$E$22</f>
        <v>-2221867.8768974431</v>
      </c>
      <c r="F28" s="584">
        <f t="shared" ref="F28:F37" si="2">F27-$F$22</f>
        <v>-871007.55673994555</v>
      </c>
      <c r="G28" s="587"/>
      <c r="H28" s="949" t="s">
        <v>900</v>
      </c>
      <c r="I28" s="949"/>
    </row>
    <row r="29" spans="1:11">
      <c r="A29" s="582">
        <v>15</v>
      </c>
      <c r="B29" s="587" t="s">
        <v>237</v>
      </c>
      <c r="C29" s="462">
        <f t="shared" si="0"/>
        <v>2020</v>
      </c>
      <c r="D29" s="252"/>
      <c r="E29" s="584">
        <f t="shared" si="1"/>
        <v>-2217145.5337625775</v>
      </c>
      <c r="F29" s="584">
        <f t="shared" si="2"/>
        <v>-861641.88409601746</v>
      </c>
      <c r="G29" s="587"/>
      <c r="H29" s="949" t="s">
        <v>901</v>
      </c>
      <c r="I29" s="949"/>
    </row>
    <row r="30" spans="1:11">
      <c r="A30" s="582">
        <v>16</v>
      </c>
      <c r="B30" s="587" t="s">
        <v>235</v>
      </c>
      <c r="C30" s="462">
        <f t="shared" si="0"/>
        <v>2020</v>
      </c>
      <c r="D30" s="252"/>
      <c r="E30" s="584">
        <f t="shared" si="1"/>
        <v>-2212423.1906277118</v>
      </c>
      <c r="F30" s="584">
        <f t="shared" si="2"/>
        <v>-852276.21145208937</v>
      </c>
      <c r="G30" s="587"/>
      <c r="H30" s="949" t="s">
        <v>902</v>
      </c>
      <c r="I30" s="949"/>
    </row>
    <row r="31" spans="1:11">
      <c r="A31" s="582">
        <v>17</v>
      </c>
      <c r="B31" s="296" t="s">
        <v>233</v>
      </c>
      <c r="C31" s="462">
        <f t="shared" si="0"/>
        <v>2020</v>
      </c>
      <c r="D31" s="252"/>
      <c r="E31" s="584">
        <f t="shared" si="1"/>
        <v>-2207700.8474928462</v>
      </c>
      <c r="F31" s="584">
        <f t="shared" si="2"/>
        <v>-842910.53880816128</v>
      </c>
      <c r="G31" s="296"/>
      <c r="H31" s="949" t="s">
        <v>903</v>
      </c>
      <c r="I31" s="949"/>
    </row>
    <row r="32" spans="1:11">
      <c r="A32" s="582">
        <v>18</v>
      </c>
      <c r="B32" s="296" t="s">
        <v>231</v>
      </c>
      <c r="C32" s="462">
        <f t="shared" si="0"/>
        <v>2020</v>
      </c>
      <c r="D32" s="252"/>
      <c r="E32" s="584">
        <f t="shared" si="1"/>
        <v>-2202978.5043579806</v>
      </c>
      <c r="F32" s="584">
        <f t="shared" si="2"/>
        <v>-833544.86616423319</v>
      </c>
      <c r="G32" s="296"/>
      <c r="H32" s="949" t="s">
        <v>904</v>
      </c>
      <c r="I32" s="949"/>
    </row>
    <row r="33" spans="1:11">
      <c r="A33" s="582">
        <v>19</v>
      </c>
      <c r="B33" s="296" t="s">
        <v>229</v>
      </c>
      <c r="C33" s="462">
        <f t="shared" si="0"/>
        <v>2020</v>
      </c>
      <c r="D33" s="252"/>
      <c r="E33" s="584">
        <f t="shared" si="1"/>
        <v>-2198256.1612231149</v>
      </c>
      <c r="F33" s="584">
        <f t="shared" si="2"/>
        <v>-824179.1935203051</v>
      </c>
      <c r="G33" s="296"/>
      <c r="H33" s="949" t="s">
        <v>905</v>
      </c>
      <c r="I33" s="949"/>
    </row>
    <row r="34" spans="1:11">
      <c r="A34" s="582">
        <v>20</v>
      </c>
      <c r="B34" s="296" t="s">
        <v>227</v>
      </c>
      <c r="C34" s="462">
        <f t="shared" si="0"/>
        <v>2020</v>
      </c>
      <c r="D34" s="252"/>
      <c r="E34" s="584">
        <f t="shared" si="1"/>
        <v>-2193533.8180882493</v>
      </c>
      <c r="F34" s="584">
        <f t="shared" si="2"/>
        <v>-814813.52087637701</v>
      </c>
      <c r="G34" s="296"/>
      <c r="H34" s="949" t="s">
        <v>906</v>
      </c>
      <c r="I34" s="949"/>
    </row>
    <row r="35" spans="1:11">
      <c r="A35" s="582">
        <v>21</v>
      </c>
      <c r="B35" s="296" t="s">
        <v>225</v>
      </c>
      <c r="C35" s="462">
        <f t="shared" si="0"/>
        <v>2020</v>
      </c>
      <c r="D35" s="252"/>
      <c r="E35" s="584">
        <f t="shared" si="1"/>
        <v>-2188811.4749533837</v>
      </c>
      <c r="F35" s="584">
        <f t="shared" si="2"/>
        <v>-805447.84823244892</v>
      </c>
      <c r="G35" s="296"/>
      <c r="H35" s="949" t="s">
        <v>907</v>
      </c>
      <c r="I35" s="949"/>
    </row>
    <row r="36" spans="1:11">
      <c r="A36" s="582">
        <v>22</v>
      </c>
      <c r="B36" s="296" t="s">
        <v>223</v>
      </c>
      <c r="C36" s="462">
        <f t="shared" si="0"/>
        <v>2020</v>
      </c>
      <c r="D36" s="252"/>
      <c r="E36" s="584">
        <f t="shared" si="1"/>
        <v>-2184089.131818518</v>
      </c>
      <c r="F36" s="584">
        <f t="shared" si="2"/>
        <v>-796082.17558852083</v>
      </c>
      <c r="G36" s="296"/>
      <c r="H36" s="949" t="s">
        <v>908</v>
      </c>
      <c r="I36" s="949"/>
    </row>
    <row r="37" spans="1:11">
      <c r="A37" s="582">
        <v>23</v>
      </c>
      <c r="B37" s="296" t="s">
        <v>221</v>
      </c>
      <c r="C37" s="462">
        <f t="shared" si="0"/>
        <v>2020</v>
      </c>
      <c r="D37" s="252"/>
      <c r="E37" s="584">
        <f t="shared" si="1"/>
        <v>-2179366.7886836524</v>
      </c>
      <c r="F37" s="584">
        <f t="shared" si="2"/>
        <v>-786716.50294459274</v>
      </c>
      <c r="G37" s="296"/>
      <c r="H37" s="949" t="s">
        <v>909</v>
      </c>
      <c r="I37" s="949"/>
    </row>
    <row r="39" spans="1:11">
      <c r="A39" s="605"/>
      <c r="B39" s="605"/>
      <c r="C39" s="605"/>
      <c r="D39" s="680"/>
      <c r="E39" s="605"/>
      <c r="F39" s="605"/>
      <c r="G39" s="605"/>
      <c r="H39" s="605"/>
      <c r="I39" s="605"/>
      <c r="J39" s="605"/>
      <c r="K39" s="605"/>
    </row>
    <row r="40" spans="1:11">
      <c r="A40" s="683"/>
      <c r="B40" s="674"/>
      <c r="C40" s="674"/>
      <c r="D40" s="674"/>
      <c r="E40" s="674"/>
      <c r="F40" s="674"/>
      <c r="G40" s="674"/>
      <c r="H40" s="674"/>
      <c r="I40" s="674"/>
      <c r="J40" s="674"/>
      <c r="K40" s="674"/>
    </row>
    <row r="41" spans="1:11">
      <c r="A41" s="674"/>
      <c r="B41" s="674"/>
      <c r="C41" s="674"/>
      <c r="D41" s="674"/>
      <c r="E41" s="674"/>
      <c r="F41" s="674"/>
      <c r="G41" s="674"/>
      <c r="H41" s="674"/>
      <c r="I41" s="674"/>
      <c r="J41" s="674"/>
      <c r="K41" s="674"/>
    </row>
    <row r="42" spans="1:11">
      <c r="A42" s="674"/>
      <c r="B42" s="674"/>
      <c r="C42" s="674"/>
      <c r="D42" s="674"/>
      <c r="E42" s="674"/>
      <c r="F42" s="674"/>
      <c r="G42" s="674"/>
      <c r="H42" s="674"/>
      <c r="I42" s="674"/>
      <c r="J42" s="674"/>
      <c r="K42" s="674"/>
    </row>
    <row r="43" spans="1:11" ht="15">
      <c r="E43"/>
      <c r="F43"/>
    </row>
  </sheetData>
  <mergeCells count="16">
    <mergeCell ref="H19:K19"/>
    <mergeCell ref="H32:I32"/>
    <mergeCell ref="H22:I22"/>
    <mergeCell ref="H23:I23"/>
    <mergeCell ref="H24:I24"/>
    <mergeCell ref="H26:I26"/>
    <mergeCell ref="H27:I27"/>
    <mergeCell ref="H28:I28"/>
    <mergeCell ref="H29:I29"/>
    <mergeCell ref="H30:I30"/>
    <mergeCell ref="H31:I31"/>
    <mergeCell ref="H33:I33"/>
    <mergeCell ref="H34:I34"/>
    <mergeCell ref="H35:I35"/>
    <mergeCell ref="H36:I36"/>
    <mergeCell ref="H37:I37"/>
  </mergeCells>
  <pageMargins left="0.5" right="0.5" top="0.5" bottom="0.5" header="0" footer="0"/>
  <pageSetup paperSize="5"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8"/>
  <sheetViews>
    <sheetView view="pageBreakPreview" zoomScale="81" zoomScaleNormal="85" zoomScaleSheetLayoutView="81" workbookViewId="0"/>
  </sheetViews>
  <sheetFormatPr defaultColWidth="8.88671875" defaultRowHeight="14.25"/>
  <cols>
    <col min="1" max="1" width="4.33203125" style="573" customWidth="1"/>
    <col min="2" max="2" width="3" style="573" customWidth="1"/>
    <col min="3" max="3" width="23.5546875" style="573" customWidth="1"/>
    <col min="4" max="6" width="11.6640625" style="573" customWidth="1"/>
    <col min="7" max="7" width="2.77734375" style="573" customWidth="1"/>
    <col min="8" max="8" width="20" style="573" bestFit="1" customWidth="1"/>
    <col min="9" max="9" width="18.6640625" style="573" customWidth="1"/>
    <col min="10" max="16384" width="8.88671875" style="573"/>
  </cols>
  <sheetData>
    <row r="1" spans="1:8" ht="15">
      <c r="A1" s="259" t="str">
        <f>'Exhibit 1a'!A1</f>
        <v>VERSANT POWER – MAINE PUBLIC DISTRICT OATT</v>
      </c>
      <c r="H1" s="196" t="s">
        <v>48</v>
      </c>
    </row>
    <row r="2" spans="1:8" ht="15">
      <c r="A2" s="259" t="str">
        <f>'Exhibit 1a'!A2</f>
        <v>ATTACHMENT J FORMULA RATES</v>
      </c>
      <c r="H2" s="684" t="s">
        <v>1138</v>
      </c>
    </row>
    <row r="3" spans="1:8" ht="15">
      <c r="A3" s="259" t="str">
        <f>'Exhibit 1a'!A3</f>
        <v>RATE YEAR JUNE 1, 2020 TO MAY 31, 2021</v>
      </c>
    </row>
    <row r="4" spans="1:8" ht="15">
      <c r="A4" s="259" t="str">
        <f>'Exhibit 1a'!A4</f>
        <v>Actual ATRR &amp; CHARGES BASED ON ACTUAL CY 2020 VALUES</v>
      </c>
    </row>
    <row r="5" spans="1:8" ht="15">
      <c r="A5" s="276"/>
    </row>
    <row r="6" spans="1:8" ht="15">
      <c r="A6" s="685" t="s">
        <v>1139</v>
      </c>
    </row>
    <row r="7" spans="1:8" ht="15">
      <c r="B7" s="574"/>
      <c r="C7" s="574"/>
      <c r="D7" s="468"/>
      <c r="E7" s="468"/>
      <c r="F7" s="468"/>
      <c r="G7" s="468"/>
      <c r="H7" s="468"/>
    </row>
    <row r="8" spans="1:8" s="582" customFormat="1" ht="15">
      <c r="A8" s="223" t="s">
        <v>14</v>
      </c>
      <c r="B8" s="594" t="s">
        <v>13</v>
      </c>
      <c r="C8" s="247"/>
      <c r="D8" s="472" t="s">
        <v>66</v>
      </c>
      <c r="E8" s="472" t="s">
        <v>43</v>
      </c>
      <c r="F8" s="472" t="s">
        <v>881</v>
      </c>
      <c r="G8" s="188"/>
      <c r="H8" s="167" t="s">
        <v>25</v>
      </c>
    </row>
    <row r="10" spans="1:8">
      <c r="A10" s="582">
        <v>1</v>
      </c>
      <c r="B10" s="595" t="s">
        <v>1140</v>
      </c>
      <c r="D10" s="582" t="s">
        <v>3</v>
      </c>
      <c r="E10" s="582" t="s">
        <v>880</v>
      </c>
      <c r="F10" s="582" t="s">
        <v>245</v>
      </c>
    </row>
    <row r="11" spans="1:8">
      <c r="A11" s="582">
        <v>2</v>
      </c>
      <c r="B11" s="593"/>
      <c r="C11" s="593" t="s">
        <v>878</v>
      </c>
      <c r="D11" s="596">
        <v>3.6815541084414101E-2</v>
      </c>
      <c r="E11" s="596">
        <v>8.179786226652791E-2</v>
      </c>
      <c r="F11" s="596">
        <f>SUM(D11:E11)</f>
        <v>0.118613403350942</v>
      </c>
      <c r="H11" s="573" t="s">
        <v>90</v>
      </c>
    </row>
    <row r="12" spans="1:8">
      <c r="A12" s="582">
        <v>3</v>
      </c>
      <c r="B12" s="593"/>
      <c r="C12" s="593" t="s">
        <v>879</v>
      </c>
      <c r="D12" s="596">
        <v>0.46541533783366362</v>
      </c>
      <c r="E12" s="596">
        <v>0.41597125881539432</v>
      </c>
      <c r="F12" s="596">
        <f>SUM(D12:E12)</f>
        <v>0.88138659664905794</v>
      </c>
      <c r="H12" s="573" t="s">
        <v>90</v>
      </c>
    </row>
    <row r="13" spans="1:8">
      <c r="A13" s="582">
        <v>4</v>
      </c>
      <c r="B13" s="591" t="s">
        <v>245</v>
      </c>
      <c r="C13" s="591"/>
      <c r="D13" s="598"/>
      <c r="E13" s="598"/>
      <c r="F13" s="597">
        <f>SUM(F11:F12)</f>
        <v>1</v>
      </c>
      <c r="H13" s="573" t="s">
        <v>882</v>
      </c>
    </row>
    <row r="14" spans="1:8">
      <c r="A14" s="582">
        <v>5</v>
      </c>
      <c r="B14" s="593"/>
      <c r="C14" s="593"/>
    </row>
    <row r="15" spans="1:8">
      <c r="A15" s="582">
        <v>6</v>
      </c>
      <c r="B15" s="595" t="s">
        <v>1141</v>
      </c>
      <c r="D15" s="582" t="s">
        <v>3</v>
      </c>
      <c r="E15" s="582" t="s">
        <v>880</v>
      </c>
      <c r="F15" s="582" t="s">
        <v>245</v>
      </c>
    </row>
    <row r="16" spans="1:8">
      <c r="A16" s="582">
        <v>7</v>
      </c>
      <c r="B16" s="593"/>
      <c r="C16" s="593" t="s">
        <v>878</v>
      </c>
      <c r="D16" s="596">
        <v>6.5309180005236778E-2</v>
      </c>
      <c r="E16" s="596">
        <v>7.1403116644744399E-2</v>
      </c>
      <c r="F16" s="596">
        <f>SUM(D16:E16)</f>
        <v>0.13671229664998119</v>
      </c>
      <c r="H16" s="573" t="s">
        <v>90</v>
      </c>
    </row>
    <row r="17" spans="1:8">
      <c r="A17" s="582">
        <v>8</v>
      </c>
      <c r="B17" s="593"/>
      <c r="C17" s="593" t="s">
        <v>879</v>
      </c>
      <c r="D17" s="682">
        <v>0.3689202692506473</v>
      </c>
      <c r="E17" s="682">
        <v>0.49436743409937151</v>
      </c>
      <c r="F17" s="596">
        <f>SUM(D17:E17)</f>
        <v>0.86328770335001881</v>
      </c>
      <c r="H17" s="573" t="s">
        <v>90</v>
      </c>
    </row>
    <row r="18" spans="1:8">
      <c r="A18" s="582">
        <v>9</v>
      </c>
      <c r="B18" s="591" t="s">
        <v>245</v>
      </c>
      <c r="C18" s="591"/>
      <c r="D18" s="598"/>
      <c r="E18" s="598"/>
      <c r="F18" s="597">
        <f>SUM(F16:F17)</f>
        <v>1</v>
      </c>
      <c r="H18" s="609" t="s">
        <v>882</v>
      </c>
    </row>
  </sheetData>
  <pageMargins left="0.5" right="0.5" top="0.5" bottom="0.5" header="0" footer="0"/>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19"/>
  <sheetViews>
    <sheetView view="pageBreakPreview" zoomScale="81" zoomScaleNormal="85" zoomScaleSheetLayoutView="81" workbookViewId="0"/>
  </sheetViews>
  <sheetFormatPr defaultColWidth="8.88671875" defaultRowHeight="14.25"/>
  <cols>
    <col min="1" max="1" width="4.33203125" style="573" customWidth="1"/>
    <col min="2" max="2" width="3" style="573" customWidth="1"/>
    <col min="3" max="3" width="56.77734375" style="573" customWidth="1"/>
    <col min="4" max="4" width="11.6640625" style="573" customWidth="1"/>
    <col min="5" max="5" width="2.77734375" style="573" customWidth="1"/>
    <col min="6" max="6" width="35.77734375" style="573" bestFit="1" customWidth="1"/>
    <col min="7" max="7" width="18.6640625" style="573" customWidth="1"/>
    <col min="8" max="16384" width="8.88671875" style="573"/>
  </cols>
  <sheetData>
    <row r="1" spans="1:6" ht="15">
      <c r="A1" s="259" t="str">
        <f>'Exhibit 1a'!A1</f>
        <v>VERSANT POWER – MAINE PUBLIC DISTRICT OATT</v>
      </c>
      <c r="F1" s="196" t="s">
        <v>48</v>
      </c>
    </row>
    <row r="2" spans="1:6" ht="15">
      <c r="A2" s="259" t="str">
        <f>'Exhibit 1a'!A2</f>
        <v>ATTACHMENT J FORMULA RATES</v>
      </c>
      <c r="F2" s="94" t="s">
        <v>915</v>
      </c>
    </row>
    <row r="3" spans="1:6" ht="15">
      <c r="A3" s="259" t="str">
        <f>'Exhibit 1a'!A3</f>
        <v>RATE YEAR JUNE 1, 2020 TO MAY 31, 2021</v>
      </c>
    </row>
    <row r="4" spans="1:6" ht="15">
      <c r="A4" s="259" t="str">
        <f>'Exhibit 1a'!A4</f>
        <v>Actual ATRR &amp; CHARGES BASED ON ACTUAL CY 2020 VALUES</v>
      </c>
    </row>
    <row r="5" spans="1:6" ht="15">
      <c r="A5" s="276"/>
    </row>
    <row r="6" spans="1:6" ht="15">
      <c r="A6" s="54" t="s">
        <v>916</v>
      </c>
    </row>
    <row r="7" spans="1:6" ht="15">
      <c r="B7" s="574"/>
      <c r="C7" s="574"/>
      <c r="D7" s="468"/>
      <c r="E7" s="468"/>
      <c r="F7" s="468"/>
    </row>
    <row r="8" spans="1:6" s="582" customFormat="1" ht="15">
      <c r="A8" s="223" t="s">
        <v>14</v>
      </c>
      <c r="B8" s="594" t="s">
        <v>13</v>
      </c>
      <c r="C8" s="247"/>
      <c r="D8" s="472" t="s">
        <v>66</v>
      </c>
      <c r="E8" s="188"/>
      <c r="F8" s="167" t="s">
        <v>25</v>
      </c>
    </row>
    <row r="10" spans="1:6">
      <c r="A10" s="582">
        <v>1</v>
      </c>
      <c r="B10" s="337" t="s">
        <v>886</v>
      </c>
      <c r="C10" s="337"/>
      <c r="D10" s="601">
        <f>'WP DTA(L) Detail'!E130</f>
        <v>-80448122.709999993</v>
      </c>
      <c r="F10" s="933" t="s">
        <v>1209</v>
      </c>
    </row>
    <row r="11" spans="1:6">
      <c r="A11" s="582">
        <v>2</v>
      </c>
      <c r="B11" s="337" t="s">
        <v>914</v>
      </c>
      <c r="C11" s="337"/>
      <c r="D11" s="601">
        <v>-414246.01026348514</v>
      </c>
      <c r="F11" s="573" t="s">
        <v>90</v>
      </c>
    </row>
    <row r="12" spans="1:6">
      <c r="A12" s="582">
        <v>3</v>
      </c>
      <c r="B12" s="337" t="s">
        <v>1086</v>
      </c>
      <c r="C12" s="337"/>
      <c r="D12" s="602">
        <f>-'WP Amortization Study Run Out'!C26</f>
        <v>63653750.92439995</v>
      </c>
      <c r="F12" s="674" t="s">
        <v>1157</v>
      </c>
    </row>
    <row r="13" spans="1:6">
      <c r="A13" s="582">
        <v>4</v>
      </c>
      <c r="B13" s="536" t="s">
        <v>910</v>
      </c>
      <c r="C13" s="536"/>
      <c r="D13" s="601">
        <f>SUM(D10:D12)</f>
        <v>-17208617.795863532</v>
      </c>
      <c r="F13" s="573" t="s">
        <v>912</v>
      </c>
    </row>
    <row r="14" spans="1:6">
      <c r="A14" s="582">
        <v>5</v>
      </c>
      <c r="B14" s="256" t="s">
        <v>883</v>
      </c>
      <c r="C14" s="256"/>
      <c r="D14" s="603">
        <v>10</v>
      </c>
      <c r="F14" s="674" t="s">
        <v>884</v>
      </c>
    </row>
    <row r="15" spans="1:6" ht="15" thickBot="1">
      <c r="A15" s="582">
        <v>6</v>
      </c>
      <c r="B15" s="600" t="s">
        <v>911</v>
      </c>
      <c r="C15" s="600"/>
      <c r="D15" s="604">
        <f>D13/D14</f>
        <v>-1720861.7795863531</v>
      </c>
      <c r="F15" s="573" t="s">
        <v>913</v>
      </c>
    </row>
    <row r="16" spans="1:6" ht="15" thickTop="1"/>
    <row r="17" spans="1:6">
      <c r="A17" s="605" t="s">
        <v>885</v>
      </c>
      <c r="B17" s="605"/>
      <c r="C17" s="605"/>
      <c r="D17" s="605"/>
      <c r="E17" s="605"/>
      <c r="F17" s="605"/>
    </row>
    <row r="18" spans="1:6">
      <c r="A18" s="582">
        <v>1</v>
      </c>
      <c r="B18" s="674" t="s">
        <v>894</v>
      </c>
      <c r="C18" s="674"/>
    </row>
    <row r="19" spans="1:6">
      <c r="A19" s="582"/>
    </row>
  </sheetData>
  <pageMargins left="0.5" right="0.5" top="0.5" bottom="0.5" header="0" footer="0"/>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31"/>
  <sheetViews>
    <sheetView view="pageBreakPreview" topLeftCell="A84" zoomScale="81" zoomScaleNormal="80" zoomScaleSheetLayoutView="81" workbookViewId="0"/>
  </sheetViews>
  <sheetFormatPr defaultColWidth="8.88671875" defaultRowHeight="14.25"/>
  <cols>
    <col min="1" max="1" width="4.88671875" style="609" customWidth="1"/>
    <col min="2" max="2" width="65.88671875" style="609" bestFit="1" customWidth="1"/>
    <col min="3" max="5" width="12.21875" style="609" customWidth="1"/>
    <col min="6" max="6" width="14.5546875" style="620" bestFit="1" customWidth="1"/>
    <col min="7" max="8" width="13.5546875" style="620" customWidth="1"/>
    <col min="9" max="9" width="3.5546875" style="609" customWidth="1"/>
    <col min="10" max="10" width="22.77734375" style="609" customWidth="1"/>
    <col min="11" max="16384" width="8.88671875" style="609"/>
  </cols>
  <sheetData>
    <row r="1" spans="1:10" ht="15">
      <c r="A1" s="259" t="str">
        <f>'Exhibit 1a'!A1</f>
        <v>VERSANT POWER – MAINE PUBLIC DISTRICT OATT</v>
      </c>
      <c r="J1" s="629" t="s">
        <v>48</v>
      </c>
    </row>
    <row r="2" spans="1:10" ht="15">
      <c r="A2" s="259" t="str">
        <f>'Exhibit 1a'!A2</f>
        <v>ATTACHMENT J FORMULA RATES</v>
      </c>
      <c r="J2" s="94" t="s">
        <v>1039</v>
      </c>
    </row>
    <row r="3" spans="1:10" ht="15">
      <c r="A3" s="259" t="str">
        <f>'Exhibit 1a'!A3</f>
        <v>RATE YEAR JUNE 1, 2020 TO MAY 31, 2021</v>
      </c>
    </row>
    <row r="4" spans="1:10" ht="15">
      <c r="A4" s="259" t="str">
        <f>'Exhibit 1a'!A4</f>
        <v>Actual ATRR &amp; CHARGES BASED ON ACTUAL CY 2020 VALUES</v>
      </c>
    </row>
    <row r="5" spans="1:10" ht="15">
      <c r="A5" s="276"/>
    </row>
    <row r="6" spans="1:10" ht="15">
      <c r="A6" s="54" t="s">
        <v>1033</v>
      </c>
    </row>
    <row r="7" spans="1:10" ht="15">
      <c r="B7" s="54"/>
      <c r="C7" s="612" t="s">
        <v>66</v>
      </c>
      <c r="D7" s="612" t="s">
        <v>43</v>
      </c>
      <c r="E7" s="612" t="s">
        <v>1064</v>
      </c>
      <c r="F7" s="612" t="s">
        <v>64</v>
      </c>
      <c r="G7" s="612" t="s">
        <v>63</v>
      </c>
      <c r="H7" s="612" t="s">
        <v>368</v>
      </c>
    </row>
    <row r="8" spans="1:10" ht="15">
      <c r="B8" s="610"/>
    </row>
    <row r="9" spans="1:10" ht="15.75" customHeight="1">
      <c r="B9" s="611"/>
      <c r="C9" s="951" t="s">
        <v>1137</v>
      </c>
      <c r="D9" s="951"/>
      <c r="E9" s="951"/>
      <c r="F9" s="654" t="s">
        <v>1130</v>
      </c>
      <c r="G9" s="654" t="s">
        <v>1074</v>
      </c>
      <c r="H9" s="654" t="s">
        <v>1132</v>
      </c>
    </row>
    <row r="10" spans="1:10" ht="15">
      <c r="A10" s="617" t="s">
        <v>14</v>
      </c>
      <c r="B10" s="621" t="s">
        <v>13</v>
      </c>
      <c r="C10" s="747" t="s">
        <v>1035</v>
      </c>
      <c r="D10" s="747" t="s">
        <v>1034</v>
      </c>
      <c r="E10" s="619" t="s">
        <v>1036</v>
      </c>
      <c r="F10" s="618" t="s">
        <v>1131</v>
      </c>
      <c r="G10" s="618" t="s">
        <v>897</v>
      </c>
      <c r="H10" s="618" t="s">
        <v>1133</v>
      </c>
      <c r="I10" s="619"/>
      <c r="J10" s="619" t="s">
        <v>25</v>
      </c>
    </row>
    <row r="11" spans="1:10" ht="15">
      <c r="B11" s="613"/>
      <c r="C11" s="613"/>
      <c r="D11" s="613"/>
      <c r="E11" s="613"/>
      <c r="F11" s="613"/>
      <c r="G11" s="613"/>
      <c r="H11" s="613"/>
    </row>
    <row r="12" spans="1:10">
      <c r="A12" s="620">
        <v>1</v>
      </c>
      <c r="B12" s="622" t="s">
        <v>1032</v>
      </c>
      <c r="C12" s="623">
        <v>-52008729.202481173</v>
      </c>
      <c r="D12" s="623">
        <v>-31205237.521488704</v>
      </c>
      <c r="E12" s="624">
        <f t="shared" ref="E12:E43" si="0">C12-D12</f>
        <v>-20803491.680992469</v>
      </c>
      <c r="F12" s="675"/>
      <c r="G12" s="675" t="s">
        <v>1083</v>
      </c>
      <c r="H12" s="675" t="s">
        <v>1134</v>
      </c>
      <c r="J12" s="609" t="s">
        <v>90</v>
      </c>
    </row>
    <row r="13" spans="1:10">
      <c r="A13" s="620">
        <v>2</v>
      </c>
      <c r="B13" s="622" t="s">
        <v>1031</v>
      </c>
      <c r="C13" s="623">
        <v>-44093667.945495695</v>
      </c>
      <c r="D13" s="623">
        <v>-26455777.068703339</v>
      </c>
      <c r="E13" s="624">
        <f t="shared" si="0"/>
        <v>-17637890.876792356</v>
      </c>
      <c r="F13" s="675"/>
      <c r="G13" s="675" t="s">
        <v>1083</v>
      </c>
      <c r="H13" s="675" t="s">
        <v>1134</v>
      </c>
      <c r="J13" s="609" t="s">
        <v>90</v>
      </c>
    </row>
    <row r="14" spans="1:10">
      <c r="A14" s="620">
        <v>3</v>
      </c>
      <c r="B14" s="622" t="s">
        <v>1030</v>
      </c>
      <c r="C14" s="623">
        <v>-44515428.016680084</v>
      </c>
      <c r="D14" s="623">
        <v>-32122006.870118797</v>
      </c>
      <c r="E14" s="624">
        <f t="shared" si="0"/>
        <v>-12393421.146561287</v>
      </c>
      <c r="F14" s="675"/>
      <c r="G14" s="675" t="s">
        <v>1083</v>
      </c>
      <c r="H14" s="675" t="s">
        <v>1134</v>
      </c>
      <c r="J14" s="609" t="s">
        <v>90</v>
      </c>
    </row>
    <row r="15" spans="1:10">
      <c r="A15" s="620">
        <v>4</v>
      </c>
      <c r="B15" s="622" t="s">
        <v>1029</v>
      </c>
      <c r="C15" s="623">
        <v>-874415.11678499996</v>
      </c>
      <c r="D15" s="623">
        <v>-524649.07007100002</v>
      </c>
      <c r="E15" s="624">
        <f t="shared" si="0"/>
        <v>-349766.04671399994</v>
      </c>
      <c r="F15" s="675"/>
      <c r="G15" s="675" t="s">
        <v>1083</v>
      </c>
      <c r="H15" s="675" t="s">
        <v>1134</v>
      </c>
      <c r="J15" s="609" t="s">
        <v>90</v>
      </c>
    </row>
    <row r="16" spans="1:10">
      <c r="A16" s="620">
        <v>5</v>
      </c>
      <c r="B16" s="622" t="s">
        <v>1028</v>
      </c>
      <c r="C16" s="623">
        <v>5932694.1989379069</v>
      </c>
      <c r="D16" s="623">
        <v>4078960.7994937645</v>
      </c>
      <c r="E16" s="624">
        <f t="shared" si="0"/>
        <v>1853733.3994441424</v>
      </c>
      <c r="F16" s="675"/>
      <c r="G16" s="675" t="s">
        <v>1083</v>
      </c>
      <c r="H16" s="675" t="s">
        <v>1134</v>
      </c>
      <c r="J16" s="609" t="s">
        <v>90</v>
      </c>
    </row>
    <row r="17" spans="1:10">
      <c r="A17" s="620">
        <v>6</v>
      </c>
      <c r="B17" s="622" t="s">
        <v>1027</v>
      </c>
      <c r="C17" s="623">
        <v>-704135.15943999984</v>
      </c>
      <c r="D17" s="623">
        <v>-484120.67070399999</v>
      </c>
      <c r="E17" s="624">
        <f t="shared" si="0"/>
        <v>-220014.48873599985</v>
      </c>
      <c r="F17" s="675"/>
      <c r="G17" s="675" t="s">
        <v>1083</v>
      </c>
      <c r="H17" s="675" t="s">
        <v>1134</v>
      </c>
      <c r="J17" s="609" t="s">
        <v>90</v>
      </c>
    </row>
    <row r="18" spans="1:10">
      <c r="A18" s="620">
        <v>7</v>
      </c>
      <c r="B18" s="622" t="s">
        <v>1026</v>
      </c>
      <c r="C18" s="623">
        <v>-2472267</v>
      </c>
      <c r="D18" s="623">
        <v>-1483360.2</v>
      </c>
      <c r="E18" s="624">
        <f t="shared" si="0"/>
        <v>-988906.8</v>
      </c>
      <c r="F18" s="675"/>
      <c r="G18" s="675" t="s">
        <v>1083</v>
      </c>
      <c r="H18" s="675" t="s">
        <v>1134</v>
      </c>
      <c r="J18" s="609" t="s">
        <v>90</v>
      </c>
    </row>
    <row r="19" spans="1:10">
      <c r="A19" s="620">
        <v>8</v>
      </c>
      <c r="B19" s="622" t="s">
        <v>1025</v>
      </c>
      <c r="C19" s="623">
        <v>-3818431.3230000003</v>
      </c>
      <c r="D19" s="623">
        <v>-2291058.7938000001</v>
      </c>
      <c r="E19" s="624">
        <f t="shared" si="0"/>
        <v>-1527372.5292000002</v>
      </c>
      <c r="F19" s="675"/>
      <c r="G19" s="675" t="s">
        <v>1083</v>
      </c>
      <c r="H19" s="675" t="s">
        <v>1134</v>
      </c>
      <c r="J19" s="609" t="s">
        <v>90</v>
      </c>
    </row>
    <row r="20" spans="1:10">
      <c r="A20" s="620">
        <v>9</v>
      </c>
      <c r="B20" s="622" t="s">
        <v>1024</v>
      </c>
      <c r="C20" s="623">
        <v>-2699614.1587914997</v>
      </c>
      <c r="D20" s="623">
        <v>-1853761.2388388999</v>
      </c>
      <c r="E20" s="624">
        <f t="shared" si="0"/>
        <v>-845852.9199525998</v>
      </c>
      <c r="F20" s="675"/>
      <c r="G20" s="675" t="s">
        <v>1083</v>
      </c>
      <c r="H20" s="675" t="s">
        <v>1134</v>
      </c>
      <c r="J20" s="609" t="s">
        <v>90</v>
      </c>
    </row>
    <row r="21" spans="1:10">
      <c r="A21" s="620">
        <v>10</v>
      </c>
      <c r="B21" s="622" t="s">
        <v>1023</v>
      </c>
      <c r="C21" s="623">
        <v>1657135.1488708351</v>
      </c>
      <c r="D21" s="623">
        <v>994281.0893225011</v>
      </c>
      <c r="E21" s="624">
        <f t="shared" si="0"/>
        <v>662854.05954833399</v>
      </c>
      <c r="F21" s="675"/>
      <c r="G21" s="675" t="s">
        <v>1083</v>
      </c>
      <c r="H21" s="675" t="s">
        <v>1134</v>
      </c>
      <c r="J21" s="609" t="s">
        <v>90</v>
      </c>
    </row>
    <row r="22" spans="1:10">
      <c r="A22" s="620">
        <v>11</v>
      </c>
      <c r="B22" s="622" t="s">
        <v>1022</v>
      </c>
      <c r="C22" s="623">
        <v>4534975.169816887</v>
      </c>
      <c r="D22" s="623">
        <v>3115508.1069959598</v>
      </c>
      <c r="E22" s="624">
        <f t="shared" si="0"/>
        <v>1419467.0628209272</v>
      </c>
      <c r="F22" s="675"/>
      <c r="G22" s="675" t="s">
        <v>1083</v>
      </c>
      <c r="H22" s="675" t="s">
        <v>1134</v>
      </c>
      <c r="J22" s="609" t="s">
        <v>90</v>
      </c>
    </row>
    <row r="23" spans="1:10">
      <c r="A23" s="620">
        <v>12</v>
      </c>
      <c r="B23" s="622" t="s">
        <v>1021</v>
      </c>
      <c r="C23" s="623">
        <v>-224366.00942661698</v>
      </c>
      <c r="D23" s="623">
        <v>-134619.6056559702</v>
      </c>
      <c r="E23" s="624">
        <f t="shared" si="0"/>
        <v>-89746.403770646779</v>
      </c>
      <c r="F23" s="675"/>
      <c r="G23" s="675" t="s">
        <v>1083</v>
      </c>
      <c r="H23" s="675" t="s">
        <v>1134</v>
      </c>
      <c r="J23" s="609" t="s">
        <v>90</v>
      </c>
    </row>
    <row r="24" spans="1:10">
      <c r="A24" s="620">
        <v>13</v>
      </c>
      <c r="B24" s="622" t="s">
        <v>1020</v>
      </c>
      <c r="C24" s="623">
        <v>-106021.57167926198</v>
      </c>
      <c r="D24" s="623">
        <v>-65599.948811140712</v>
      </c>
      <c r="E24" s="624">
        <f t="shared" si="0"/>
        <v>-40421.622868121267</v>
      </c>
      <c r="F24" s="675"/>
      <c r="G24" s="675" t="s">
        <v>1083</v>
      </c>
      <c r="H24" s="675" t="s">
        <v>1134</v>
      </c>
      <c r="J24" s="609" t="s">
        <v>90</v>
      </c>
    </row>
    <row r="25" spans="1:10">
      <c r="A25" s="620">
        <v>14</v>
      </c>
      <c r="B25" s="622" t="s">
        <v>1019</v>
      </c>
      <c r="C25" s="623">
        <v>-1414485.0999999999</v>
      </c>
      <c r="D25" s="623">
        <v>-848691.05999999994</v>
      </c>
      <c r="E25" s="624">
        <f t="shared" si="0"/>
        <v>-565794.03999999992</v>
      </c>
      <c r="F25" s="675"/>
      <c r="G25" s="675" t="s">
        <v>1083</v>
      </c>
      <c r="H25" s="675" t="s">
        <v>1134</v>
      </c>
      <c r="J25" s="609" t="s">
        <v>90</v>
      </c>
    </row>
    <row r="26" spans="1:10">
      <c r="A26" s="620">
        <v>15</v>
      </c>
      <c r="B26" s="622" t="s">
        <v>1018</v>
      </c>
      <c r="C26" s="623">
        <v>-3503516.8661949998</v>
      </c>
      <c r="D26" s="623">
        <v>-2353581.4558369997</v>
      </c>
      <c r="E26" s="624">
        <f t="shared" si="0"/>
        <v>-1149935.4103580001</v>
      </c>
      <c r="F26" s="675"/>
      <c r="G26" s="675" t="s">
        <v>1083</v>
      </c>
      <c r="H26" s="675" t="s">
        <v>1134</v>
      </c>
      <c r="J26" s="609" t="s">
        <v>90</v>
      </c>
    </row>
    <row r="27" spans="1:10">
      <c r="A27" s="620">
        <v>16</v>
      </c>
      <c r="B27" s="622" t="s">
        <v>1017</v>
      </c>
      <c r="C27" s="623">
        <v>7282506.2657339182</v>
      </c>
      <c r="D27" s="623">
        <v>4369503.7594403513</v>
      </c>
      <c r="E27" s="624">
        <f t="shared" si="0"/>
        <v>2913002.5062935669</v>
      </c>
      <c r="F27" s="675"/>
      <c r="G27" s="675" t="s">
        <v>1083</v>
      </c>
      <c r="H27" s="675" t="s">
        <v>1134</v>
      </c>
      <c r="J27" s="609" t="s">
        <v>90</v>
      </c>
    </row>
    <row r="28" spans="1:10">
      <c r="A28" s="620">
        <v>17</v>
      </c>
      <c r="B28" s="622" t="s">
        <v>1016</v>
      </c>
      <c r="C28" s="623">
        <v>4328425.0848725</v>
      </c>
      <c r="D28" s="623">
        <v>2969012.0723835002</v>
      </c>
      <c r="E28" s="624">
        <f t="shared" si="0"/>
        <v>1359413.0124889999</v>
      </c>
      <c r="F28" s="675"/>
      <c r="G28" s="675" t="s">
        <v>1083</v>
      </c>
      <c r="H28" s="675" t="s">
        <v>1134</v>
      </c>
      <c r="J28" s="609" t="s">
        <v>90</v>
      </c>
    </row>
    <row r="29" spans="1:10">
      <c r="A29" s="620">
        <v>18</v>
      </c>
      <c r="B29" s="622" t="s">
        <v>1015</v>
      </c>
      <c r="C29" s="623">
        <v>-17911355.243055306</v>
      </c>
      <c r="D29" s="623">
        <v>-10713765.961869566</v>
      </c>
      <c r="E29" s="624">
        <f t="shared" si="0"/>
        <v>-7197589.2811857406</v>
      </c>
      <c r="F29" s="675"/>
      <c r="G29" s="675" t="s">
        <v>1083</v>
      </c>
      <c r="H29" s="675" t="s">
        <v>1134</v>
      </c>
      <c r="J29" s="609" t="s">
        <v>90</v>
      </c>
    </row>
    <row r="30" spans="1:10">
      <c r="A30" s="620">
        <v>19</v>
      </c>
      <c r="B30" s="622" t="s">
        <v>1014</v>
      </c>
      <c r="C30" s="623">
        <v>-18792198.438170001</v>
      </c>
      <c r="D30" s="623">
        <v>-12718195.683495447</v>
      </c>
      <c r="E30" s="624">
        <f t="shared" si="0"/>
        <v>-6074002.7546745539</v>
      </c>
      <c r="F30" s="675"/>
      <c r="G30" s="675" t="s">
        <v>1083</v>
      </c>
      <c r="H30" s="675" t="s">
        <v>1134</v>
      </c>
      <c r="J30" s="609" t="s">
        <v>90</v>
      </c>
    </row>
    <row r="31" spans="1:10">
      <c r="A31" s="620">
        <v>20</v>
      </c>
      <c r="B31" s="622" t="s">
        <v>1013</v>
      </c>
      <c r="C31" s="623">
        <v>-611745.37567500002</v>
      </c>
      <c r="D31" s="623">
        <v>-420592.04120500002</v>
      </c>
      <c r="E31" s="624">
        <f t="shared" si="0"/>
        <v>-191153.33447</v>
      </c>
      <c r="F31" s="675"/>
      <c r="G31" s="675" t="s">
        <v>1083</v>
      </c>
      <c r="H31" s="675" t="s">
        <v>1134</v>
      </c>
      <c r="J31" s="609" t="s">
        <v>90</v>
      </c>
    </row>
    <row r="32" spans="1:10">
      <c r="A32" s="620">
        <v>21</v>
      </c>
      <c r="B32" s="622" t="s">
        <v>1012</v>
      </c>
      <c r="C32" s="623">
        <v>8672144.0749999993</v>
      </c>
      <c r="D32" s="623">
        <v>5203286.4449999994</v>
      </c>
      <c r="E32" s="624">
        <f t="shared" si="0"/>
        <v>3468857.63</v>
      </c>
      <c r="F32" s="675"/>
      <c r="G32" s="675" t="s">
        <v>1083</v>
      </c>
      <c r="H32" s="675" t="s">
        <v>1134</v>
      </c>
      <c r="J32" s="609" t="s">
        <v>90</v>
      </c>
    </row>
    <row r="33" spans="1:10">
      <c r="A33" s="620">
        <v>22</v>
      </c>
      <c r="B33" s="622" t="s">
        <v>1011</v>
      </c>
      <c r="C33" s="623">
        <v>5518944.992589999</v>
      </c>
      <c r="D33" s="623">
        <v>3791504.5909939995</v>
      </c>
      <c r="E33" s="624">
        <f t="shared" si="0"/>
        <v>1727440.4015959995</v>
      </c>
      <c r="F33" s="675"/>
      <c r="G33" s="675" t="s">
        <v>1083</v>
      </c>
      <c r="H33" s="675" t="s">
        <v>1134</v>
      </c>
      <c r="J33" s="609" t="s">
        <v>90</v>
      </c>
    </row>
    <row r="34" spans="1:10">
      <c r="A34" s="620">
        <v>23</v>
      </c>
      <c r="B34" s="622" t="s">
        <v>1010</v>
      </c>
      <c r="C34" s="623">
        <v>-18974767.190682359</v>
      </c>
      <c r="D34" s="623">
        <v>-11384860.314409416</v>
      </c>
      <c r="E34" s="624">
        <f t="shared" si="0"/>
        <v>-7589906.8762729429</v>
      </c>
      <c r="F34" s="675"/>
      <c r="G34" s="675" t="s">
        <v>1083</v>
      </c>
      <c r="H34" s="675" t="s">
        <v>1134</v>
      </c>
      <c r="J34" s="609" t="s">
        <v>90</v>
      </c>
    </row>
    <row r="35" spans="1:10">
      <c r="A35" s="620">
        <v>24</v>
      </c>
      <c r="B35" s="622" t="s">
        <v>1009</v>
      </c>
      <c r="C35" s="623">
        <v>-9741158.9386557713</v>
      </c>
      <c r="D35" s="623">
        <v>-6662365.8306634342</v>
      </c>
      <c r="E35" s="624">
        <f t="shared" si="0"/>
        <v>-3078793.1079923371</v>
      </c>
      <c r="F35" s="675"/>
      <c r="G35" s="675" t="s">
        <v>1083</v>
      </c>
      <c r="H35" s="675" t="s">
        <v>1134</v>
      </c>
      <c r="J35" s="609" t="s">
        <v>90</v>
      </c>
    </row>
    <row r="36" spans="1:10">
      <c r="A36" s="620">
        <v>25</v>
      </c>
      <c r="B36" s="622" t="s">
        <v>1008</v>
      </c>
      <c r="C36" s="623">
        <v>-724115.47950000002</v>
      </c>
      <c r="D36" s="623">
        <v>-434469.28769999999</v>
      </c>
      <c r="E36" s="624">
        <f t="shared" si="0"/>
        <v>-289646.19180000003</v>
      </c>
      <c r="F36" s="675"/>
      <c r="G36" s="675" t="s">
        <v>1083</v>
      </c>
      <c r="H36" s="675" t="s">
        <v>1134</v>
      </c>
      <c r="J36" s="609" t="s">
        <v>90</v>
      </c>
    </row>
    <row r="37" spans="1:10">
      <c r="A37" s="620">
        <v>26</v>
      </c>
      <c r="B37" s="622" t="s">
        <v>1007</v>
      </c>
      <c r="C37" s="623">
        <v>72217.47300405</v>
      </c>
      <c r="D37" s="623">
        <v>49652.355497230004</v>
      </c>
      <c r="E37" s="624">
        <f t="shared" si="0"/>
        <v>22565.117506819995</v>
      </c>
      <c r="F37" s="675"/>
      <c r="G37" s="675" t="s">
        <v>1083</v>
      </c>
      <c r="H37" s="675" t="s">
        <v>1134</v>
      </c>
      <c r="J37" s="609" t="s">
        <v>90</v>
      </c>
    </row>
    <row r="38" spans="1:10">
      <c r="A38" s="620">
        <v>27</v>
      </c>
      <c r="B38" s="622" t="s">
        <v>1006</v>
      </c>
      <c r="C38" s="623">
        <v>-3854409.2142499993</v>
      </c>
      <c r="D38" s="623">
        <v>-2312645.5285499995</v>
      </c>
      <c r="E38" s="624">
        <f t="shared" si="0"/>
        <v>-1541763.6856999998</v>
      </c>
      <c r="F38" s="675"/>
      <c r="G38" s="675" t="s">
        <v>1083</v>
      </c>
      <c r="H38" s="675" t="s">
        <v>1134</v>
      </c>
      <c r="J38" s="609" t="s">
        <v>90</v>
      </c>
    </row>
    <row r="39" spans="1:10">
      <c r="A39" s="620">
        <v>28</v>
      </c>
      <c r="B39" s="622" t="s">
        <v>1005</v>
      </c>
      <c r="C39" s="623">
        <v>-353591.66814999987</v>
      </c>
      <c r="D39" s="623">
        <v>-212155.00088999994</v>
      </c>
      <c r="E39" s="624">
        <f t="shared" si="0"/>
        <v>-141436.66725999993</v>
      </c>
      <c r="F39" s="675"/>
      <c r="G39" s="675" t="s">
        <v>1083</v>
      </c>
      <c r="H39" s="675" t="s">
        <v>1134</v>
      </c>
      <c r="J39" s="609" t="s">
        <v>90</v>
      </c>
    </row>
    <row r="40" spans="1:10">
      <c r="A40" s="620">
        <v>29</v>
      </c>
      <c r="B40" s="622" t="s">
        <v>1004</v>
      </c>
      <c r="C40" s="623">
        <v>5042775.0939999996</v>
      </c>
      <c r="D40" s="623">
        <v>3025665.0563999997</v>
      </c>
      <c r="E40" s="624">
        <f t="shared" si="0"/>
        <v>2017110.0375999999</v>
      </c>
      <c r="F40" s="675"/>
      <c r="G40" s="675" t="s">
        <v>1083</v>
      </c>
      <c r="H40" s="675" t="s">
        <v>1134</v>
      </c>
      <c r="J40" s="609" t="s">
        <v>90</v>
      </c>
    </row>
    <row r="41" spans="1:10">
      <c r="A41" s="620">
        <v>30</v>
      </c>
      <c r="B41" s="622" t="s">
        <v>1003</v>
      </c>
      <c r="C41" s="623">
        <v>-155235.4755</v>
      </c>
      <c r="D41" s="623">
        <v>-93141.285300000003</v>
      </c>
      <c r="E41" s="624">
        <f t="shared" si="0"/>
        <v>-62094.190199999997</v>
      </c>
      <c r="F41" s="675"/>
      <c r="G41" s="675" t="s">
        <v>1083</v>
      </c>
      <c r="H41" s="675" t="s">
        <v>1134</v>
      </c>
      <c r="J41" s="609" t="s">
        <v>90</v>
      </c>
    </row>
    <row r="42" spans="1:10">
      <c r="A42" s="620">
        <v>31</v>
      </c>
      <c r="B42" s="622" t="s">
        <v>1002</v>
      </c>
      <c r="C42" s="623">
        <v>58956.1</v>
      </c>
      <c r="D42" s="623">
        <v>35373.659999999996</v>
      </c>
      <c r="E42" s="624">
        <f t="shared" si="0"/>
        <v>23582.440000000002</v>
      </c>
      <c r="F42" s="675"/>
      <c r="G42" s="675" t="s">
        <v>1083</v>
      </c>
      <c r="H42" s="675" t="s">
        <v>1134</v>
      </c>
      <c r="J42" s="609" t="s">
        <v>90</v>
      </c>
    </row>
    <row r="43" spans="1:10">
      <c r="A43" s="620">
        <v>32</v>
      </c>
      <c r="B43" s="622" t="s">
        <v>1001</v>
      </c>
      <c r="C43" s="623">
        <v>431046.4679499999</v>
      </c>
      <c r="D43" s="623">
        <v>258627.88076999996</v>
      </c>
      <c r="E43" s="624">
        <f t="shared" si="0"/>
        <v>172418.58717999994</v>
      </c>
      <c r="F43" s="675"/>
      <c r="G43" s="675" t="s">
        <v>1083</v>
      </c>
      <c r="H43" s="675" t="s">
        <v>1134</v>
      </c>
      <c r="J43" s="609" t="s">
        <v>90</v>
      </c>
    </row>
    <row r="44" spans="1:10">
      <c r="A44" s="620">
        <v>33</v>
      </c>
      <c r="B44" s="622" t="s">
        <v>1000</v>
      </c>
      <c r="C44" s="623">
        <v>330851.5</v>
      </c>
      <c r="D44" s="623">
        <v>198510.9</v>
      </c>
      <c r="E44" s="624">
        <f t="shared" ref="E44:E75" si="1">C44-D44</f>
        <v>132340.6</v>
      </c>
      <c r="F44" s="675"/>
      <c r="G44" s="675" t="s">
        <v>1083</v>
      </c>
      <c r="H44" s="675" t="s">
        <v>1134</v>
      </c>
      <c r="J44" s="609" t="s">
        <v>90</v>
      </c>
    </row>
    <row r="45" spans="1:10">
      <c r="A45" s="620">
        <v>34</v>
      </c>
      <c r="B45" s="622" t="s">
        <v>999</v>
      </c>
      <c r="C45" s="623">
        <v>340207</v>
      </c>
      <c r="D45" s="623">
        <v>204124.19999999998</v>
      </c>
      <c r="E45" s="624">
        <f t="shared" si="1"/>
        <v>136082.80000000002</v>
      </c>
      <c r="F45" s="675"/>
      <c r="G45" s="675" t="s">
        <v>1083</v>
      </c>
      <c r="H45" s="675" t="s">
        <v>1134</v>
      </c>
      <c r="J45" s="609" t="s">
        <v>90</v>
      </c>
    </row>
    <row r="46" spans="1:10">
      <c r="A46" s="620">
        <v>35</v>
      </c>
      <c r="B46" s="622" t="s">
        <v>998</v>
      </c>
      <c r="C46" s="623">
        <v>-46543.35</v>
      </c>
      <c r="D46" s="623">
        <v>-27926.01</v>
      </c>
      <c r="E46" s="624">
        <f t="shared" si="1"/>
        <v>-18617.34</v>
      </c>
      <c r="F46" s="675"/>
      <c r="G46" s="675" t="s">
        <v>1083</v>
      </c>
      <c r="H46" s="675" t="s">
        <v>1134</v>
      </c>
      <c r="J46" s="609" t="s">
        <v>90</v>
      </c>
    </row>
    <row r="47" spans="1:10">
      <c r="A47" s="620">
        <v>36</v>
      </c>
      <c r="B47" s="622" t="s">
        <v>997</v>
      </c>
      <c r="C47" s="623">
        <v>-90619.549999999988</v>
      </c>
      <c r="D47" s="623">
        <v>-54371.729999999996</v>
      </c>
      <c r="E47" s="624">
        <f t="shared" si="1"/>
        <v>-36247.819999999992</v>
      </c>
      <c r="F47" s="675"/>
      <c r="G47" s="675" t="s">
        <v>1083</v>
      </c>
      <c r="H47" s="675" t="s">
        <v>1134</v>
      </c>
      <c r="J47" s="609" t="s">
        <v>90</v>
      </c>
    </row>
    <row r="48" spans="1:10">
      <c r="A48" s="620">
        <v>37</v>
      </c>
      <c r="B48" s="622" t="s">
        <v>996</v>
      </c>
      <c r="C48" s="623">
        <v>-145717.93996638077</v>
      </c>
      <c r="D48" s="623">
        <v>-87430.763979828465</v>
      </c>
      <c r="E48" s="624">
        <f t="shared" si="1"/>
        <v>-58287.175986552305</v>
      </c>
      <c r="F48" s="675"/>
      <c r="G48" s="675" t="s">
        <v>1083</v>
      </c>
      <c r="H48" s="675" t="s">
        <v>1134</v>
      </c>
      <c r="J48" s="609" t="s">
        <v>90</v>
      </c>
    </row>
    <row r="49" spans="1:10">
      <c r="A49" s="620">
        <v>38</v>
      </c>
      <c r="B49" s="622" t="s">
        <v>995</v>
      </c>
      <c r="C49" s="623">
        <v>-1296576.2160681721</v>
      </c>
      <c r="D49" s="623">
        <v>-777945.7296409033</v>
      </c>
      <c r="E49" s="624">
        <f t="shared" si="1"/>
        <v>-518630.48642726883</v>
      </c>
      <c r="F49" s="675"/>
      <c r="G49" s="675" t="s">
        <v>1083</v>
      </c>
      <c r="H49" s="675" t="s">
        <v>1134</v>
      </c>
      <c r="J49" s="609" t="s">
        <v>90</v>
      </c>
    </row>
    <row r="50" spans="1:10">
      <c r="A50" s="620">
        <v>39</v>
      </c>
      <c r="B50" s="622" t="s">
        <v>994</v>
      </c>
      <c r="C50" s="623">
        <v>-386911.50805673085</v>
      </c>
      <c r="D50" s="623">
        <v>-232146.90483403849</v>
      </c>
      <c r="E50" s="624">
        <f t="shared" si="1"/>
        <v>-154764.60322269236</v>
      </c>
      <c r="F50" s="675"/>
      <c r="G50" s="675" t="s">
        <v>1083</v>
      </c>
      <c r="H50" s="675" t="s">
        <v>1134</v>
      </c>
      <c r="J50" s="609" t="s">
        <v>90</v>
      </c>
    </row>
    <row r="51" spans="1:10">
      <c r="A51" s="620">
        <v>40</v>
      </c>
      <c r="B51" s="622" t="s">
        <v>993</v>
      </c>
      <c r="C51" s="623">
        <v>-922529.05866230547</v>
      </c>
      <c r="D51" s="623">
        <v>-553517.43519738328</v>
      </c>
      <c r="E51" s="624">
        <f t="shared" si="1"/>
        <v>-369011.62346492219</v>
      </c>
      <c r="F51" s="675"/>
      <c r="G51" s="675" t="s">
        <v>1083</v>
      </c>
      <c r="H51" s="675" t="s">
        <v>1134</v>
      </c>
      <c r="J51" s="609" t="s">
        <v>90</v>
      </c>
    </row>
    <row r="52" spans="1:10">
      <c r="A52" s="620">
        <v>41</v>
      </c>
      <c r="B52" s="625" t="s">
        <v>992</v>
      </c>
      <c r="C52" s="623">
        <v>-1486886.45</v>
      </c>
      <c r="D52" s="623">
        <v>-892131.87</v>
      </c>
      <c r="E52" s="624">
        <f t="shared" si="1"/>
        <v>-594754.57999999996</v>
      </c>
      <c r="F52" s="675"/>
      <c r="G52" s="675" t="s">
        <v>1083</v>
      </c>
      <c r="H52" s="675" t="s">
        <v>1134</v>
      </c>
      <c r="J52" s="609" t="s">
        <v>90</v>
      </c>
    </row>
    <row r="53" spans="1:10">
      <c r="A53" s="620">
        <v>42</v>
      </c>
      <c r="B53" s="625" t="s">
        <v>991</v>
      </c>
      <c r="C53" s="623">
        <v>-3305070.6929550003</v>
      </c>
      <c r="D53" s="623">
        <v>-2427320.5960530001</v>
      </c>
      <c r="E53" s="624">
        <f t="shared" si="1"/>
        <v>-877750.09690200025</v>
      </c>
      <c r="F53" s="675"/>
      <c r="G53" s="675" t="s">
        <v>1083</v>
      </c>
      <c r="H53" s="675" t="s">
        <v>1134</v>
      </c>
      <c r="J53" s="609" t="s">
        <v>90</v>
      </c>
    </row>
    <row r="54" spans="1:10">
      <c r="A54" s="620">
        <v>43</v>
      </c>
      <c r="B54" s="625" t="s">
        <v>990</v>
      </c>
      <c r="C54" s="623">
        <v>-150531.56066666663</v>
      </c>
      <c r="D54" s="623">
        <v>-90318.936399999977</v>
      </c>
      <c r="E54" s="624">
        <f t="shared" si="1"/>
        <v>-60212.624266666651</v>
      </c>
      <c r="F54" s="675"/>
      <c r="G54" s="675" t="s">
        <v>1083</v>
      </c>
      <c r="H54" s="675" t="s">
        <v>1134</v>
      </c>
      <c r="J54" s="609" t="s">
        <v>90</v>
      </c>
    </row>
    <row r="55" spans="1:10" s="614" customFormat="1">
      <c r="A55" s="620">
        <v>44</v>
      </c>
      <c r="B55" s="625" t="s">
        <v>989</v>
      </c>
      <c r="C55" s="623">
        <v>-22504419.072521426</v>
      </c>
      <c r="D55" s="623">
        <v>-13502651.443512855</v>
      </c>
      <c r="E55" s="624">
        <f t="shared" si="1"/>
        <v>-9001767.6290085707</v>
      </c>
      <c r="F55" s="675"/>
      <c r="G55" s="675" t="s">
        <v>1083</v>
      </c>
      <c r="H55" s="675" t="s">
        <v>1134</v>
      </c>
      <c r="J55" s="609" t="s">
        <v>90</v>
      </c>
    </row>
    <row r="56" spans="1:10">
      <c r="A56" s="620">
        <v>45</v>
      </c>
      <c r="B56" s="622" t="s">
        <v>988</v>
      </c>
      <c r="C56" s="623">
        <v>-3594.4621153499975</v>
      </c>
      <c r="D56" s="623">
        <v>-2510.9207248099988</v>
      </c>
      <c r="E56" s="624">
        <f t="shared" si="1"/>
        <v>-1083.5413905399987</v>
      </c>
      <c r="F56" s="675"/>
      <c r="G56" s="675" t="s">
        <v>1083</v>
      </c>
      <c r="H56" s="675" t="s">
        <v>1134</v>
      </c>
      <c r="J56" s="609" t="s">
        <v>90</v>
      </c>
    </row>
    <row r="57" spans="1:10">
      <c r="A57" s="620">
        <v>46</v>
      </c>
      <c r="B57" s="622" t="s">
        <v>987</v>
      </c>
      <c r="C57" s="623">
        <v>-472301.52198012278</v>
      </c>
      <c r="D57" s="623">
        <v>-283380.91318807367</v>
      </c>
      <c r="E57" s="624">
        <f t="shared" si="1"/>
        <v>-188920.60879204911</v>
      </c>
      <c r="F57" s="675"/>
      <c r="G57" s="675" t="s">
        <v>1083</v>
      </c>
      <c r="H57" s="675" t="s">
        <v>1134</v>
      </c>
      <c r="J57" s="609" t="s">
        <v>90</v>
      </c>
    </row>
    <row r="58" spans="1:10">
      <c r="A58" s="620">
        <v>47</v>
      </c>
      <c r="B58" s="622" t="s">
        <v>986</v>
      </c>
      <c r="C58" s="623">
        <v>188184.5</v>
      </c>
      <c r="D58" s="623">
        <v>112910.7</v>
      </c>
      <c r="E58" s="624">
        <f t="shared" si="1"/>
        <v>75273.8</v>
      </c>
      <c r="F58" s="675"/>
      <c r="G58" s="675" t="s">
        <v>1083</v>
      </c>
      <c r="H58" s="675" t="s">
        <v>1134</v>
      </c>
      <c r="J58" s="609" t="s">
        <v>90</v>
      </c>
    </row>
    <row r="59" spans="1:10">
      <c r="A59" s="620">
        <v>48</v>
      </c>
      <c r="B59" s="622" t="s">
        <v>985</v>
      </c>
      <c r="C59" s="623">
        <v>-2772716.6459999993</v>
      </c>
      <c r="D59" s="623">
        <v>-1663629.9875999996</v>
      </c>
      <c r="E59" s="624">
        <f t="shared" si="1"/>
        <v>-1109086.6583999996</v>
      </c>
      <c r="F59" s="675"/>
      <c r="G59" s="675" t="s">
        <v>1083</v>
      </c>
      <c r="H59" s="675" t="s">
        <v>1134</v>
      </c>
      <c r="J59" s="609" t="s">
        <v>90</v>
      </c>
    </row>
    <row r="60" spans="1:10">
      <c r="A60" s="620">
        <v>49</v>
      </c>
      <c r="B60" s="622" t="s">
        <v>984</v>
      </c>
      <c r="C60" s="623">
        <v>-1287273.9039999999</v>
      </c>
      <c r="D60" s="623">
        <v>-772364.34239999996</v>
      </c>
      <c r="E60" s="624">
        <f t="shared" si="1"/>
        <v>-514909.5615999999</v>
      </c>
      <c r="F60" s="675"/>
      <c r="G60" s="675" t="s">
        <v>1083</v>
      </c>
      <c r="H60" s="675" t="s">
        <v>1134</v>
      </c>
      <c r="J60" s="609" t="s">
        <v>90</v>
      </c>
    </row>
    <row r="61" spans="1:10">
      <c r="A61" s="620">
        <v>50</v>
      </c>
      <c r="B61" s="622" t="s">
        <v>983</v>
      </c>
      <c r="C61" s="623">
        <v>-149879.39749999999</v>
      </c>
      <c r="D61" s="623">
        <v>-89927.638499999986</v>
      </c>
      <c r="E61" s="624">
        <f t="shared" si="1"/>
        <v>-59951.759000000005</v>
      </c>
      <c r="F61" s="675"/>
      <c r="G61" s="675" t="s">
        <v>1083</v>
      </c>
      <c r="H61" s="675" t="s">
        <v>1134</v>
      </c>
      <c r="J61" s="609" t="s">
        <v>90</v>
      </c>
    </row>
    <row r="62" spans="1:10">
      <c r="A62" s="620">
        <v>51</v>
      </c>
      <c r="B62" s="622" t="s">
        <v>982</v>
      </c>
      <c r="C62" s="623">
        <v>-64665.023500000003</v>
      </c>
      <c r="D62" s="623">
        <v>-38799.0141</v>
      </c>
      <c r="E62" s="624">
        <f t="shared" si="1"/>
        <v>-25866.009400000003</v>
      </c>
      <c r="F62" s="675"/>
      <c r="G62" s="675" t="s">
        <v>1083</v>
      </c>
      <c r="H62" s="675" t="s">
        <v>1134</v>
      </c>
      <c r="J62" s="609" t="s">
        <v>90</v>
      </c>
    </row>
    <row r="63" spans="1:10">
      <c r="A63" s="620">
        <v>52</v>
      </c>
      <c r="B63" s="622" t="s">
        <v>981</v>
      </c>
      <c r="C63" s="623">
        <v>-45791.549999999996</v>
      </c>
      <c r="D63" s="623">
        <v>-27474.93</v>
      </c>
      <c r="E63" s="624">
        <f t="shared" si="1"/>
        <v>-18316.619999999995</v>
      </c>
      <c r="F63" s="675"/>
      <c r="G63" s="675" t="s">
        <v>1083</v>
      </c>
      <c r="H63" s="675" t="s">
        <v>1134</v>
      </c>
      <c r="J63" s="609" t="s">
        <v>90</v>
      </c>
    </row>
    <row r="64" spans="1:10">
      <c r="A64" s="620">
        <v>53</v>
      </c>
      <c r="B64" s="622" t="s">
        <v>980</v>
      </c>
      <c r="C64" s="623">
        <v>-224454.65</v>
      </c>
      <c r="D64" s="623">
        <v>-134672.79</v>
      </c>
      <c r="E64" s="624">
        <f t="shared" si="1"/>
        <v>-89781.859999999986</v>
      </c>
      <c r="F64" s="675"/>
      <c r="G64" s="675" t="s">
        <v>1083</v>
      </c>
      <c r="H64" s="675" t="s">
        <v>1134</v>
      </c>
      <c r="J64" s="609" t="s">
        <v>90</v>
      </c>
    </row>
    <row r="65" spans="1:10">
      <c r="A65" s="620">
        <v>54</v>
      </c>
      <c r="B65" s="622" t="s">
        <v>979</v>
      </c>
      <c r="C65" s="623">
        <v>44426.275629164804</v>
      </c>
      <c r="D65" s="623">
        <v>26655.765377498883</v>
      </c>
      <c r="E65" s="624">
        <f t="shared" si="1"/>
        <v>17770.510251665921</v>
      </c>
      <c r="F65" s="675"/>
      <c r="G65" s="675" t="s">
        <v>1083</v>
      </c>
      <c r="H65" s="675" t="s">
        <v>1134</v>
      </c>
      <c r="J65" s="609" t="s">
        <v>90</v>
      </c>
    </row>
    <row r="66" spans="1:10">
      <c r="A66" s="620">
        <v>55</v>
      </c>
      <c r="B66" s="622" t="s">
        <v>978</v>
      </c>
      <c r="C66" s="623">
        <v>125720.36698008103</v>
      </c>
      <c r="D66" s="623">
        <v>75432.220188048625</v>
      </c>
      <c r="E66" s="624">
        <f t="shared" si="1"/>
        <v>50288.146792032407</v>
      </c>
      <c r="F66" s="675"/>
      <c r="G66" s="675" t="s">
        <v>1083</v>
      </c>
      <c r="H66" s="675" t="s">
        <v>1134</v>
      </c>
      <c r="J66" s="609" t="s">
        <v>90</v>
      </c>
    </row>
    <row r="67" spans="1:10">
      <c r="A67" s="620">
        <v>56</v>
      </c>
      <c r="B67" s="626" t="s">
        <v>977</v>
      </c>
      <c r="C67" s="623">
        <v>-7898.0170087502847</v>
      </c>
      <c r="D67" s="623">
        <v>-5430.1975952501962</v>
      </c>
      <c r="E67" s="624">
        <f t="shared" si="1"/>
        <v>-2467.8194135000886</v>
      </c>
      <c r="F67" s="678" t="s">
        <v>1136</v>
      </c>
      <c r="G67" s="675" t="s">
        <v>897</v>
      </c>
      <c r="H67" s="675" t="s">
        <v>1135</v>
      </c>
      <c r="J67" s="609" t="s">
        <v>90</v>
      </c>
    </row>
    <row r="68" spans="1:10">
      <c r="A68" s="620">
        <v>57</v>
      </c>
      <c r="B68" s="626" t="s">
        <v>976</v>
      </c>
      <c r="C68" s="623">
        <v>806483.8290926998</v>
      </c>
      <c r="D68" s="623">
        <v>554489.37935881992</v>
      </c>
      <c r="E68" s="624">
        <f t="shared" si="1"/>
        <v>251994.44973387988</v>
      </c>
      <c r="F68" s="678"/>
      <c r="G68" s="675" t="s">
        <v>897</v>
      </c>
      <c r="H68" s="675" t="s">
        <v>1135</v>
      </c>
      <c r="J68" s="609" t="s">
        <v>90</v>
      </c>
    </row>
    <row r="69" spans="1:10">
      <c r="A69" s="620">
        <v>58</v>
      </c>
      <c r="B69" s="622" t="s">
        <v>975</v>
      </c>
      <c r="C69" s="623">
        <v>673894.59435189213</v>
      </c>
      <c r="D69" s="623">
        <v>463329.2024399353</v>
      </c>
      <c r="E69" s="624">
        <f t="shared" si="1"/>
        <v>210565.39191195683</v>
      </c>
      <c r="F69" s="678"/>
      <c r="G69" s="675" t="s">
        <v>897</v>
      </c>
      <c r="H69" s="675" t="s">
        <v>1135</v>
      </c>
      <c r="J69" s="609" t="s">
        <v>90</v>
      </c>
    </row>
    <row r="70" spans="1:10">
      <c r="A70" s="620">
        <v>59</v>
      </c>
      <c r="B70" s="622" t="s">
        <v>974</v>
      </c>
      <c r="C70" s="623">
        <v>-47.591748102112952</v>
      </c>
      <c r="D70" s="623">
        <v>-52.942838065897796</v>
      </c>
      <c r="E70" s="624">
        <f t="shared" si="1"/>
        <v>5.3510899637848439</v>
      </c>
      <c r="F70" s="675"/>
      <c r="G70" s="675" t="s">
        <v>897</v>
      </c>
      <c r="H70" s="675" t="s">
        <v>1135</v>
      </c>
      <c r="J70" s="609" t="s">
        <v>90</v>
      </c>
    </row>
    <row r="71" spans="1:10">
      <c r="A71" s="620">
        <v>60</v>
      </c>
      <c r="B71" s="622" t="s">
        <v>973</v>
      </c>
      <c r="C71" s="623">
        <v>12865.687413149999</v>
      </c>
      <c r="D71" s="623">
        <v>8845.6665482900007</v>
      </c>
      <c r="E71" s="624">
        <f t="shared" si="1"/>
        <v>4020.0208648599983</v>
      </c>
      <c r="F71" s="675"/>
      <c r="G71" s="675" t="s">
        <v>897</v>
      </c>
      <c r="H71" s="675" t="s">
        <v>1135</v>
      </c>
      <c r="J71" s="609" t="s">
        <v>90</v>
      </c>
    </row>
    <row r="72" spans="1:10">
      <c r="A72" s="620">
        <v>61</v>
      </c>
      <c r="B72" s="622" t="s">
        <v>972</v>
      </c>
      <c r="C72" s="623">
        <v>-765384.22006749967</v>
      </c>
      <c r="D72" s="623">
        <v>-526231.78028716648</v>
      </c>
      <c r="E72" s="624">
        <f t="shared" si="1"/>
        <v>-239152.4397803332</v>
      </c>
      <c r="F72" s="675" t="s">
        <v>1136</v>
      </c>
      <c r="G72" s="675" t="s">
        <v>897</v>
      </c>
      <c r="H72" s="675" t="s">
        <v>1135</v>
      </c>
      <c r="J72" s="609" t="s">
        <v>90</v>
      </c>
    </row>
    <row r="73" spans="1:10">
      <c r="A73" s="620">
        <v>62</v>
      </c>
      <c r="B73" s="622" t="s">
        <v>971</v>
      </c>
      <c r="C73" s="623">
        <v>1690237.1444953501</v>
      </c>
      <c r="D73" s="623">
        <v>1162104.5722328101</v>
      </c>
      <c r="E73" s="624">
        <f t="shared" si="1"/>
        <v>528132.57226253999</v>
      </c>
      <c r="F73" s="675" t="s">
        <v>1136</v>
      </c>
      <c r="G73" s="675" t="s">
        <v>897</v>
      </c>
      <c r="H73" s="675" t="s">
        <v>1135</v>
      </c>
      <c r="J73" s="609" t="s">
        <v>90</v>
      </c>
    </row>
    <row r="74" spans="1:10">
      <c r="A74" s="620">
        <v>63</v>
      </c>
      <c r="B74" s="622" t="s">
        <v>970</v>
      </c>
      <c r="C74" s="623">
        <v>5681385.961706399</v>
      </c>
      <c r="D74" s="623">
        <v>3906176.4937662398</v>
      </c>
      <c r="E74" s="624">
        <f t="shared" si="1"/>
        <v>1775209.4679401591</v>
      </c>
      <c r="F74" s="675" t="s">
        <v>1136</v>
      </c>
      <c r="G74" s="675" t="s">
        <v>897</v>
      </c>
      <c r="H74" s="675" t="s">
        <v>1135</v>
      </c>
      <c r="J74" s="609" t="s">
        <v>90</v>
      </c>
    </row>
    <row r="75" spans="1:10">
      <c r="A75" s="620">
        <v>64</v>
      </c>
      <c r="B75" s="622" t="s">
        <v>969</v>
      </c>
      <c r="C75" s="623">
        <v>-9472.7839184022068</v>
      </c>
      <c r="D75" s="623">
        <v>-6512.9118355965238</v>
      </c>
      <c r="E75" s="624">
        <f t="shared" si="1"/>
        <v>-2959.872082805683</v>
      </c>
      <c r="F75" s="675" t="s">
        <v>1136</v>
      </c>
      <c r="G75" s="675" t="s">
        <v>897</v>
      </c>
      <c r="H75" s="675" t="s">
        <v>1135</v>
      </c>
      <c r="J75" s="609" t="s">
        <v>90</v>
      </c>
    </row>
    <row r="76" spans="1:10">
      <c r="A76" s="620">
        <v>65</v>
      </c>
      <c r="B76" s="622" t="s">
        <v>968</v>
      </c>
      <c r="C76" s="623">
        <v>-472030.79351834953</v>
      </c>
      <c r="D76" s="623">
        <v>-324539.75181460974</v>
      </c>
      <c r="E76" s="624">
        <f t="shared" ref="E76:E107" si="2">C76-D76</f>
        <v>-147491.04170373979</v>
      </c>
      <c r="F76" s="675" t="s">
        <v>1136</v>
      </c>
      <c r="G76" s="675" t="s">
        <v>897</v>
      </c>
      <c r="H76" s="675" t="s">
        <v>1135</v>
      </c>
      <c r="J76" s="609" t="s">
        <v>90</v>
      </c>
    </row>
    <row r="77" spans="1:10">
      <c r="A77" s="620">
        <v>66</v>
      </c>
      <c r="B77" s="622" t="s">
        <v>967</v>
      </c>
      <c r="C77" s="623">
        <v>-6133678.055762399</v>
      </c>
      <c r="D77" s="623">
        <v>-4217145.1126958393</v>
      </c>
      <c r="E77" s="624">
        <f t="shared" si="2"/>
        <v>-1916532.9430665597</v>
      </c>
      <c r="F77" s="675" t="s">
        <v>1136</v>
      </c>
      <c r="G77" s="675" t="s">
        <v>897</v>
      </c>
      <c r="H77" s="675" t="s">
        <v>1135</v>
      </c>
      <c r="J77" s="609" t="s">
        <v>90</v>
      </c>
    </row>
    <row r="78" spans="1:10">
      <c r="A78" s="620">
        <v>67</v>
      </c>
      <c r="B78" s="622" t="s">
        <v>966</v>
      </c>
      <c r="C78" s="623">
        <v>-717.12276569999995</v>
      </c>
      <c r="D78" s="623">
        <v>-493.05013062</v>
      </c>
      <c r="E78" s="624">
        <f t="shared" si="2"/>
        <v>-224.07263507999994</v>
      </c>
      <c r="F78" s="675" t="s">
        <v>1136</v>
      </c>
      <c r="G78" s="675" t="s">
        <v>897</v>
      </c>
      <c r="H78" s="675" t="s">
        <v>1135</v>
      </c>
      <c r="J78" s="609" t="s">
        <v>90</v>
      </c>
    </row>
    <row r="79" spans="1:10">
      <c r="A79" s="620">
        <v>68</v>
      </c>
      <c r="B79" s="622" t="s">
        <v>965</v>
      </c>
      <c r="C79" s="623">
        <v>-448171.48834755016</v>
      </c>
      <c r="D79" s="623">
        <v>-308135.54029933014</v>
      </c>
      <c r="E79" s="624">
        <f t="shared" si="2"/>
        <v>-140035.94804822002</v>
      </c>
      <c r="F79" s="675" t="s">
        <v>1136</v>
      </c>
      <c r="G79" s="675" t="s">
        <v>897</v>
      </c>
      <c r="H79" s="675" t="s">
        <v>1135</v>
      </c>
      <c r="J79" s="609" t="s">
        <v>90</v>
      </c>
    </row>
    <row r="80" spans="1:10">
      <c r="A80" s="620">
        <v>69</v>
      </c>
      <c r="B80" s="622" t="s">
        <v>964</v>
      </c>
      <c r="C80" s="623">
        <v>-1562743.49240625</v>
      </c>
      <c r="D80" s="623">
        <v>-1074447.66769375</v>
      </c>
      <c r="E80" s="624">
        <f t="shared" si="2"/>
        <v>-488295.82471249998</v>
      </c>
      <c r="F80" s="675" t="s">
        <v>1136</v>
      </c>
      <c r="G80" s="675" t="s">
        <v>897</v>
      </c>
      <c r="H80" s="675" t="s">
        <v>1135</v>
      </c>
      <c r="J80" s="609" t="s">
        <v>90</v>
      </c>
    </row>
    <row r="81" spans="1:10">
      <c r="A81" s="620">
        <v>70</v>
      </c>
      <c r="B81" s="622" t="s">
        <v>963</v>
      </c>
      <c r="C81" s="623">
        <v>-452654.98479629995</v>
      </c>
      <c r="D81" s="623">
        <v>-311218.12059857999</v>
      </c>
      <c r="E81" s="624">
        <f t="shared" si="2"/>
        <v>-141436.86419771996</v>
      </c>
      <c r="F81" s="675" t="s">
        <v>1136</v>
      </c>
      <c r="G81" s="675" t="s">
        <v>897</v>
      </c>
      <c r="H81" s="675" t="s">
        <v>1135</v>
      </c>
      <c r="J81" s="609" t="s">
        <v>90</v>
      </c>
    </row>
    <row r="82" spans="1:10">
      <c r="A82" s="620">
        <v>71</v>
      </c>
      <c r="B82" s="622" t="s">
        <v>962</v>
      </c>
      <c r="C82" s="623">
        <v>12531188.620905517</v>
      </c>
      <c r="D82" s="623">
        <v>8615685.4612338841</v>
      </c>
      <c r="E82" s="624">
        <f t="shared" si="2"/>
        <v>3915503.1596716326</v>
      </c>
      <c r="F82" s="675"/>
      <c r="G82" s="675" t="s">
        <v>897</v>
      </c>
      <c r="H82" s="675" t="s">
        <v>1135</v>
      </c>
      <c r="J82" s="609" t="s">
        <v>90</v>
      </c>
    </row>
    <row r="83" spans="1:10">
      <c r="A83" s="620">
        <v>72</v>
      </c>
      <c r="B83" s="622" t="s">
        <v>961</v>
      </c>
      <c r="C83" s="623">
        <v>-0.7671246001444082</v>
      </c>
      <c r="D83" s="623">
        <v>-0.52742836009928629</v>
      </c>
      <c r="E83" s="624">
        <f t="shared" si="2"/>
        <v>-0.23969624004512191</v>
      </c>
      <c r="F83" s="675"/>
      <c r="G83" s="675" t="s">
        <v>897</v>
      </c>
      <c r="H83" s="675" t="s">
        <v>1135</v>
      </c>
      <c r="J83" s="609" t="s">
        <v>90</v>
      </c>
    </row>
    <row r="84" spans="1:10">
      <c r="A84" s="620">
        <v>73</v>
      </c>
      <c r="B84" s="622" t="s">
        <v>960</v>
      </c>
      <c r="C84" s="623">
        <v>-4119129.0441550976</v>
      </c>
      <c r="D84" s="623">
        <v>-2832064.1072038626</v>
      </c>
      <c r="E84" s="624">
        <f t="shared" si="2"/>
        <v>-1287064.9369512349</v>
      </c>
      <c r="F84" s="675"/>
      <c r="G84" s="675" t="s">
        <v>897</v>
      </c>
      <c r="H84" s="675" t="s">
        <v>1135</v>
      </c>
      <c r="J84" s="609" t="s">
        <v>90</v>
      </c>
    </row>
    <row r="85" spans="1:10">
      <c r="A85" s="620">
        <v>74</v>
      </c>
      <c r="B85" s="622" t="s">
        <v>959</v>
      </c>
      <c r="C85" s="623">
        <v>-1525259.7616873127</v>
      </c>
      <c r="D85" s="623">
        <v>-1048676.0571547877</v>
      </c>
      <c r="E85" s="624">
        <f t="shared" si="2"/>
        <v>-476583.70453252504</v>
      </c>
      <c r="F85" s="675"/>
      <c r="G85" s="675" t="s">
        <v>897</v>
      </c>
      <c r="H85" s="675" t="s">
        <v>1135</v>
      </c>
      <c r="J85" s="609" t="s">
        <v>90</v>
      </c>
    </row>
    <row r="86" spans="1:10">
      <c r="A86" s="620">
        <v>75</v>
      </c>
      <c r="B86" s="622" t="s">
        <v>958</v>
      </c>
      <c r="C86" s="623">
        <v>696226.49236347876</v>
      </c>
      <c r="D86" s="623">
        <v>478683.12012914481</v>
      </c>
      <c r="E86" s="624">
        <f t="shared" si="2"/>
        <v>217543.37223433395</v>
      </c>
      <c r="F86" s="675"/>
      <c r="G86" s="675" t="s">
        <v>897</v>
      </c>
      <c r="H86" s="675" t="s">
        <v>1135</v>
      </c>
      <c r="J86" s="609" t="s">
        <v>90</v>
      </c>
    </row>
    <row r="87" spans="1:10">
      <c r="A87" s="620">
        <v>76</v>
      </c>
      <c r="B87" s="622" t="s">
        <v>957</v>
      </c>
      <c r="C87" s="623">
        <v>205654.68</v>
      </c>
      <c r="D87" s="623">
        <v>141395.68799999999</v>
      </c>
      <c r="E87" s="624">
        <f t="shared" si="2"/>
        <v>64258.991999999998</v>
      </c>
      <c r="F87" s="675"/>
      <c r="G87" s="675" t="s">
        <v>897</v>
      </c>
      <c r="H87" s="675" t="s">
        <v>1135</v>
      </c>
      <c r="J87" s="609" t="s">
        <v>90</v>
      </c>
    </row>
    <row r="88" spans="1:10">
      <c r="A88" s="620">
        <v>77</v>
      </c>
      <c r="B88" s="622" t="s">
        <v>956</v>
      </c>
      <c r="C88" s="623">
        <v>-539296.54659704992</v>
      </c>
      <c r="D88" s="623">
        <v>-370787.60494102992</v>
      </c>
      <c r="E88" s="624">
        <f t="shared" si="2"/>
        <v>-168508.94165602</v>
      </c>
      <c r="F88" s="675"/>
      <c r="G88" s="675" t="s">
        <v>897</v>
      </c>
      <c r="H88" s="675" t="s">
        <v>1135</v>
      </c>
      <c r="J88" s="609" t="s">
        <v>90</v>
      </c>
    </row>
    <row r="89" spans="1:10">
      <c r="A89" s="620">
        <v>78</v>
      </c>
      <c r="B89" s="622" t="s">
        <v>955</v>
      </c>
      <c r="C89" s="623">
        <v>11689.924898161476</v>
      </c>
      <c r="D89" s="623">
        <v>8037.2835358955699</v>
      </c>
      <c r="E89" s="624">
        <f t="shared" si="2"/>
        <v>3652.6413622659065</v>
      </c>
      <c r="F89" s="675"/>
      <c r="G89" s="675" t="s">
        <v>897</v>
      </c>
      <c r="H89" s="675" t="s">
        <v>1135</v>
      </c>
      <c r="J89" s="609" t="s">
        <v>90</v>
      </c>
    </row>
    <row r="90" spans="1:10">
      <c r="A90" s="620">
        <v>79</v>
      </c>
      <c r="B90" s="622" t="s">
        <v>954</v>
      </c>
      <c r="C90" s="623">
        <v>342506.61752396938</v>
      </c>
      <c r="D90" s="623">
        <v>235486.82799958161</v>
      </c>
      <c r="E90" s="624">
        <f t="shared" si="2"/>
        <v>107019.78952438777</v>
      </c>
      <c r="F90" s="675"/>
      <c r="G90" s="675" t="s">
        <v>897</v>
      </c>
      <c r="H90" s="675" t="s">
        <v>1135</v>
      </c>
      <c r="J90" s="609" t="s">
        <v>90</v>
      </c>
    </row>
    <row r="91" spans="1:10">
      <c r="A91" s="620">
        <v>80</v>
      </c>
      <c r="B91" s="622" t="s">
        <v>953</v>
      </c>
      <c r="C91" s="623">
        <v>342415.09368975461</v>
      </c>
      <c r="D91" s="623">
        <v>235395.94053905277</v>
      </c>
      <c r="E91" s="624">
        <f t="shared" si="2"/>
        <v>107019.15315070184</v>
      </c>
      <c r="F91" s="678"/>
      <c r="G91" s="675" t="s">
        <v>897</v>
      </c>
      <c r="H91" s="675" t="s">
        <v>1135</v>
      </c>
      <c r="J91" s="609" t="s">
        <v>90</v>
      </c>
    </row>
    <row r="92" spans="1:10">
      <c r="A92" s="620">
        <v>81</v>
      </c>
      <c r="B92" s="622" t="s">
        <v>952</v>
      </c>
      <c r="C92" s="623">
        <v>-781270.37354355003</v>
      </c>
      <c r="D92" s="623">
        <v>-537154.13615292998</v>
      </c>
      <c r="E92" s="624">
        <f t="shared" si="2"/>
        <v>-244116.23739062005</v>
      </c>
      <c r="F92" s="675" t="s">
        <v>1136</v>
      </c>
      <c r="G92" s="675" t="s">
        <v>897</v>
      </c>
      <c r="H92" s="675" t="s">
        <v>1135</v>
      </c>
      <c r="J92" s="609" t="s">
        <v>90</v>
      </c>
    </row>
    <row r="93" spans="1:10">
      <c r="A93" s="620">
        <v>82</v>
      </c>
      <c r="B93" s="622" t="s">
        <v>951</v>
      </c>
      <c r="C93" s="623">
        <v>-2930.4329891086722</v>
      </c>
      <c r="D93" s="623">
        <v>-2014.7880351320828</v>
      </c>
      <c r="E93" s="624">
        <f t="shared" si="2"/>
        <v>-915.64495397658948</v>
      </c>
      <c r="F93" s="675" t="s">
        <v>1136</v>
      </c>
      <c r="G93" s="675" t="s">
        <v>897</v>
      </c>
      <c r="H93" s="675" t="s">
        <v>1135</v>
      </c>
      <c r="J93" s="609" t="s">
        <v>90</v>
      </c>
    </row>
    <row r="94" spans="1:10">
      <c r="A94" s="620">
        <v>83</v>
      </c>
      <c r="B94" s="622" t="s">
        <v>950</v>
      </c>
      <c r="C94" s="623">
        <v>885723.19752510008</v>
      </c>
      <c r="D94" s="623">
        <v>608969.56437666016</v>
      </c>
      <c r="E94" s="624">
        <f t="shared" si="2"/>
        <v>276753.63314843993</v>
      </c>
      <c r="F94" s="675" t="s">
        <v>1136</v>
      </c>
      <c r="G94" s="675" t="s">
        <v>897</v>
      </c>
      <c r="H94" s="675" t="s">
        <v>1135</v>
      </c>
      <c r="J94" s="609" t="s">
        <v>90</v>
      </c>
    </row>
    <row r="95" spans="1:10">
      <c r="A95" s="620">
        <v>84</v>
      </c>
      <c r="B95" s="622" t="s">
        <v>949</v>
      </c>
      <c r="C95" s="623">
        <v>0</v>
      </c>
      <c r="D95" s="623">
        <v>0</v>
      </c>
      <c r="E95" s="624">
        <f t="shared" si="2"/>
        <v>0</v>
      </c>
      <c r="F95" s="675" t="s">
        <v>1136</v>
      </c>
      <c r="G95" s="675" t="s">
        <v>897</v>
      </c>
      <c r="H95" s="675" t="s">
        <v>1135</v>
      </c>
      <c r="J95" s="609" t="s">
        <v>90</v>
      </c>
    </row>
    <row r="96" spans="1:10">
      <c r="A96" s="620">
        <v>85</v>
      </c>
      <c r="B96" s="622" t="s">
        <v>948</v>
      </c>
      <c r="C96" s="623">
        <v>-228448.3266879</v>
      </c>
      <c r="D96" s="623">
        <v>-157067.21735913999</v>
      </c>
      <c r="E96" s="624">
        <f t="shared" si="2"/>
        <v>-71381.109328760009</v>
      </c>
      <c r="F96" s="675" t="s">
        <v>1136</v>
      </c>
      <c r="G96" s="675" t="s">
        <v>897</v>
      </c>
      <c r="H96" s="675" t="s">
        <v>1135</v>
      </c>
      <c r="J96" s="609" t="s">
        <v>90</v>
      </c>
    </row>
    <row r="97" spans="1:10">
      <c r="A97" s="620">
        <v>86</v>
      </c>
      <c r="B97" s="622" t="s">
        <v>947</v>
      </c>
      <c r="C97" s="623">
        <v>-290487.03402478743</v>
      </c>
      <c r="D97" s="623">
        <v>-199720.96196858783</v>
      </c>
      <c r="E97" s="624">
        <f t="shared" si="2"/>
        <v>-90766.072056199599</v>
      </c>
      <c r="F97" s="675"/>
      <c r="G97" s="675" t="s">
        <v>897</v>
      </c>
      <c r="H97" s="675" t="s">
        <v>1135</v>
      </c>
      <c r="J97" s="609" t="s">
        <v>90</v>
      </c>
    </row>
    <row r="98" spans="1:10">
      <c r="A98" s="620">
        <v>87</v>
      </c>
      <c r="B98" s="622" t="s">
        <v>946</v>
      </c>
      <c r="C98" s="623">
        <v>-434962.28802730649</v>
      </c>
      <c r="D98" s="623">
        <v>-299053.75265638391</v>
      </c>
      <c r="E98" s="624">
        <f t="shared" si="2"/>
        <v>-135908.53537092259</v>
      </c>
      <c r="F98" s="675" t="s">
        <v>1136</v>
      </c>
      <c r="G98" s="675" t="s">
        <v>897</v>
      </c>
      <c r="H98" s="675" t="s">
        <v>1135</v>
      </c>
      <c r="J98" s="609" t="s">
        <v>90</v>
      </c>
    </row>
    <row r="99" spans="1:10">
      <c r="A99" s="620">
        <v>88</v>
      </c>
      <c r="B99" s="622" t="s">
        <v>945</v>
      </c>
      <c r="C99" s="623">
        <v>-0.51985177198634891</v>
      </c>
      <c r="D99" s="623">
        <v>-0.51453936437242442</v>
      </c>
      <c r="E99" s="624">
        <f t="shared" si="2"/>
        <v>-5.3124076139244858E-3</v>
      </c>
      <c r="F99" s="675" t="s">
        <v>1136</v>
      </c>
      <c r="G99" s="675" t="s">
        <v>897</v>
      </c>
      <c r="H99" s="675" t="s">
        <v>1135</v>
      </c>
      <c r="J99" s="609" t="s">
        <v>90</v>
      </c>
    </row>
    <row r="100" spans="1:10">
      <c r="A100" s="620">
        <v>89</v>
      </c>
      <c r="B100" s="622" t="s">
        <v>944</v>
      </c>
      <c r="C100" s="623">
        <v>-266609.10721335001</v>
      </c>
      <c r="D100" s="623">
        <v>-183304.25615161</v>
      </c>
      <c r="E100" s="624">
        <f t="shared" si="2"/>
        <v>-83304.851061740017</v>
      </c>
      <c r="F100" s="675" t="s">
        <v>1136</v>
      </c>
      <c r="G100" s="675" t="s">
        <v>897</v>
      </c>
      <c r="H100" s="675" t="s">
        <v>1135</v>
      </c>
      <c r="J100" s="609" t="s">
        <v>90</v>
      </c>
    </row>
    <row r="101" spans="1:10">
      <c r="A101" s="620">
        <v>90</v>
      </c>
      <c r="B101" s="622" t="s">
        <v>943</v>
      </c>
      <c r="C101" s="623">
        <v>-18321.967669849026</v>
      </c>
      <c r="D101" s="623">
        <v>-12597.044321909416</v>
      </c>
      <c r="E101" s="624">
        <f t="shared" si="2"/>
        <v>-5724.9233479396098</v>
      </c>
      <c r="F101" s="675" t="s">
        <v>1136</v>
      </c>
      <c r="G101" s="675" t="s">
        <v>897</v>
      </c>
      <c r="H101" s="675" t="s">
        <v>1135</v>
      </c>
      <c r="J101" s="609" t="s">
        <v>90</v>
      </c>
    </row>
    <row r="102" spans="1:10">
      <c r="A102" s="620">
        <v>91</v>
      </c>
      <c r="B102" s="622" t="s">
        <v>942</v>
      </c>
      <c r="C102" s="623">
        <v>2.8378757889953676</v>
      </c>
      <c r="D102" s="623">
        <v>1.8968166734263119</v>
      </c>
      <c r="E102" s="624">
        <f t="shared" si="2"/>
        <v>0.94105911556905575</v>
      </c>
      <c r="F102" s="675" t="s">
        <v>1136</v>
      </c>
      <c r="G102" s="675" t="s">
        <v>897</v>
      </c>
      <c r="H102" s="675" t="s">
        <v>1135</v>
      </c>
      <c r="J102" s="609" t="s">
        <v>90</v>
      </c>
    </row>
    <row r="103" spans="1:10">
      <c r="A103" s="620">
        <v>92</v>
      </c>
      <c r="B103" s="622" t="s">
        <v>941</v>
      </c>
      <c r="C103" s="623">
        <v>434962.28802730649</v>
      </c>
      <c r="D103" s="623">
        <v>299053.75265638391</v>
      </c>
      <c r="E103" s="624">
        <f t="shared" si="2"/>
        <v>135908.53537092259</v>
      </c>
      <c r="F103" s="675" t="s">
        <v>1136</v>
      </c>
      <c r="G103" s="675" t="s">
        <v>897</v>
      </c>
      <c r="H103" s="675" t="s">
        <v>1135</v>
      </c>
      <c r="J103" s="609" t="s">
        <v>90</v>
      </c>
    </row>
    <row r="104" spans="1:10">
      <c r="A104" s="620">
        <v>93</v>
      </c>
      <c r="B104" s="622" t="s">
        <v>940</v>
      </c>
      <c r="C104" s="623">
        <v>9927.2597327891635</v>
      </c>
      <c r="D104" s="623">
        <v>6825.1586388734977</v>
      </c>
      <c r="E104" s="624">
        <f t="shared" si="2"/>
        <v>3102.1010939156658</v>
      </c>
      <c r="F104" s="675"/>
      <c r="G104" s="675" t="s">
        <v>897</v>
      </c>
      <c r="H104" s="675" t="s">
        <v>1135</v>
      </c>
      <c r="J104" s="609" t="s">
        <v>90</v>
      </c>
    </row>
    <row r="105" spans="1:10">
      <c r="A105" s="620">
        <v>94</v>
      </c>
      <c r="B105" s="622" t="s">
        <v>939</v>
      </c>
      <c r="C105" s="623">
        <v>0.52143631606363372</v>
      </c>
      <c r="D105" s="623">
        <v>0.31857698963726538</v>
      </c>
      <c r="E105" s="624">
        <f t="shared" si="2"/>
        <v>0.20285932642636834</v>
      </c>
      <c r="F105" s="675"/>
      <c r="G105" s="675" t="s">
        <v>897</v>
      </c>
      <c r="H105" s="675" t="s">
        <v>1135</v>
      </c>
      <c r="J105" s="609" t="s">
        <v>90</v>
      </c>
    </row>
    <row r="106" spans="1:10">
      <c r="A106" s="620">
        <v>95</v>
      </c>
      <c r="B106" s="622" t="s">
        <v>938</v>
      </c>
      <c r="C106" s="623">
        <v>222889.55202222761</v>
      </c>
      <c r="D106" s="623">
        <v>153245.48652047903</v>
      </c>
      <c r="E106" s="624">
        <f t="shared" si="2"/>
        <v>69644.065501748584</v>
      </c>
      <c r="F106" s="675"/>
      <c r="G106" s="675" t="s">
        <v>897</v>
      </c>
      <c r="H106" s="675" t="s">
        <v>1135</v>
      </c>
      <c r="J106" s="609" t="s">
        <v>90</v>
      </c>
    </row>
    <row r="107" spans="1:10">
      <c r="A107" s="620">
        <v>96</v>
      </c>
      <c r="B107" s="622" t="s">
        <v>937</v>
      </c>
      <c r="C107" s="623">
        <v>332926.15684987733</v>
      </c>
      <c r="D107" s="623">
        <v>228899.79704956961</v>
      </c>
      <c r="E107" s="624">
        <f t="shared" si="2"/>
        <v>104026.35980030772</v>
      </c>
      <c r="F107" s="675"/>
      <c r="G107" s="675" t="s">
        <v>897</v>
      </c>
      <c r="H107" s="675" t="s">
        <v>1135</v>
      </c>
      <c r="J107" s="609" t="s">
        <v>90</v>
      </c>
    </row>
    <row r="108" spans="1:10">
      <c r="A108" s="620">
        <v>97</v>
      </c>
      <c r="B108" s="622" t="s">
        <v>936</v>
      </c>
      <c r="C108" s="623">
        <v>-1237029.1880393568</v>
      </c>
      <c r="D108" s="623">
        <v>-850506.22884783358</v>
      </c>
      <c r="E108" s="624">
        <f t="shared" ref="E108:E127" si="3">C108-D108</f>
        <v>-386522.95919152326</v>
      </c>
      <c r="F108" s="675"/>
      <c r="G108" s="675" t="s">
        <v>897</v>
      </c>
      <c r="H108" s="675" t="s">
        <v>1135</v>
      </c>
      <c r="J108" s="609" t="s">
        <v>90</v>
      </c>
    </row>
    <row r="109" spans="1:10">
      <c r="A109" s="620">
        <v>98</v>
      </c>
      <c r="B109" s="622" t="s">
        <v>935</v>
      </c>
      <c r="C109" s="623">
        <v>-36552.23529694735</v>
      </c>
      <c r="D109" s="623">
        <v>-25130.899769801745</v>
      </c>
      <c r="E109" s="624">
        <f t="shared" si="3"/>
        <v>-11421.335527145606</v>
      </c>
      <c r="F109" s="675"/>
      <c r="G109" s="675" t="s">
        <v>897</v>
      </c>
      <c r="H109" s="675" t="s">
        <v>1135</v>
      </c>
      <c r="J109" s="609" t="s">
        <v>90</v>
      </c>
    </row>
    <row r="110" spans="1:10">
      <c r="A110" s="620">
        <v>99</v>
      </c>
      <c r="B110" s="622" t="s">
        <v>934</v>
      </c>
      <c r="C110" s="623">
        <v>226822.25920200004</v>
      </c>
      <c r="D110" s="623">
        <v>155949.23195320001</v>
      </c>
      <c r="E110" s="624">
        <f t="shared" si="3"/>
        <v>70873.027248800034</v>
      </c>
      <c r="F110" s="675"/>
      <c r="G110" s="675" t="s">
        <v>897</v>
      </c>
      <c r="H110" s="675" t="s">
        <v>1135</v>
      </c>
      <c r="J110" s="609" t="s">
        <v>90</v>
      </c>
    </row>
    <row r="111" spans="1:10">
      <c r="A111" s="620">
        <v>100</v>
      </c>
      <c r="B111" s="622" t="s">
        <v>933</v>
      </c>
      <c r="C111" s="623">
        <v>-104094.0585762</v>
      </c>
      <c r="D111" s="623">
        <v>-71568.762884919997</v>
      </c>
      <c r="E111" s="624">
        <f t="shared" si="3"/>
        <v>-32525.29569128</v>
      </c>
      <c r="F111" s="675" t="s">
        <v>1136</v>
      </c>
      <c r="G111" s="675" t="s">
        <v>897</v>
      </c>
      <c r="H111" s="675" t="s">
        <v>1135</v>
      </c>
      <c r="J111" s="609" t="s">
        <v>90</v>
      </c>
    </row>
    <row r="112" spans="1:10">
      <c r="A112" s="620">
        <v>101</v>
      </c>
      <c r="B112" s="622" t="s">
        <v>932</v>
      </c>
      <c r="C112" s="623">
        <v>-1390958.077575</v>
      </c>
      <c r="D112" s="623">
        <v>-956338.43274499988</v>
      </c>
      <c r="E112" s="624">
        <f t="shared" si="3"/>
        <v>-434619.64483000012</v>
      </c>
      <c r="F112" s="675" t="s">
        <v>1136</v>
      </c>
      <c r="G112" s="675" t="s">
        <v>897</v>
      </c>
      <c r="H112" s="675" t="s">
        <v>1135</v>
      </c>
      <c r="J112" s="609" t="s">
        <v>90</v>
      </c>
    </row>
    <row r="113" spans="1:10">
      <c r="A113" s="620">
        <v>102</v>
      </c>
      <c r="B113" s="622" t="s">
        <v>931</v>
      </c>
      <c r="C113" s="623">
        <v>-50840.717693699997</v>
      </c>
      <c r="D113" s="623">
        <v>-34954.994735419998</v>
      </c>
      <c r="E113" s="624">
        <f t="shared" si="3"/>
        <v>-15885.722958279999</v>
      </c>
      <c r="F113" s="675" t="s">
        <v>1136</v>
      </c>
      <c r="G113" s="675" t="s">
        <v>897</v>
      </c>
      <c r="H113" s="675" t="s">
        <v>1135</v>
      </c>
      <c r="J113" s="609" t="s">
        <v>90</v>
      </c>
    </row>
    <row r="114" spans="1:10">
      <c r="A114" s="620">
        <v>103</v>
      </c>
      <c r="B114" s="622" t="s">
        <v>930</v>
      </c>
      <c r="C114" s="623">
        <v>-192761.90655975003</v>
      </c>
      <c r="D114" s="623">
        <v>-132531.39874185002</v>
      </c>
      <c r="E114" s="624">
        <f t="shared" si="3"/>
        <v>-60230.507817900012</v>
      </c>
      <c r="F114" s="675" t="s">
        <v>1136</v>
      </c>
      <c r="G114" s="675" t="s">
        <v>897</v>
      </c>
      <c r="H114" s="675" t="s">
        <v>1135</v>
      </c>
      <c r="J114" s="609" t="s">
        <v>90</v>
      </c>
    </row>
    <row r="115" spans="1:10">
      <c r="A115" s="620">
        <v>104</v>
      </c>
      <c r="B115" s="622" t="s">
        <v>929</v>
      </c>
      <c r="C115" s="623">
        <v>-207042.02483909999</v>
      </c>
      <c r="D115" s="623">
        <v>-142349.54218906001</v>
      </c>
      <c r="E115" s="624">
        <f t="shared" si="3"/>
        <v>-64692.482650039979</v>
      </c>
      <c r="F115" s="675" t="s">
        <v>1136</v>
      </c>
      <c r="G115" s="675" t="s">
        <v>897</v>
      </c>
      <c r="H115" s="675" t="s">
        <v>1135</v>
      </c>
      <c r="J115" s="609" t="s">
        <v>90</v>
      </c>
    </row>
    <row r="116" spans="1:10">
      <c r="A116" s="620">
        <v>105</v>
      </c>
      <c r="B116" s="622" t="s">
        <v>928</v>
      </c>
      <c r="C116" s="623">
        <v>-113216.6716758</v>
      </c>
      <c r="D116" s="623">
        <v>-77840.918498279992</v>
      </c>
      <c r="E116" s="624">
        <f t="shared" si="3"/>
        <v>-35375.753177520004</v>
      </c>
      <c r="F116" s="675" t="s">
        <v>1136</v>
      </c>
      <c r="G116" s="675" t="s">
        <v>897</v>
      </c>
      <c r="H116" s="675" t="s">
        <v>1135</v>
      </c>
      <c r="J116" s="609" t="s">
        <v>90</v>
      </c>
    </row>
    <row r="117" spans="1:10">
      <c r="A117" s="620">
        <v>106</v>
      </c>
      <c r="B117" s="627" t="s">
        <v>927</v>
      </c>
      <c r="C117" s="623">
        <v>-132694.89561240026</v>
      </c>
      <c r="D117" s="623">
        <v>-91232.964205840181</v>
      </c>
      <c r="E117" s="624">
        <f t="shared" si="3"/>
        <v>-41461.931406560077</v>
      </c>
      <c r="F117" s="675" t="s">
        <v>1136</v>
      </c>
      <c r="G117" s="675" t="s">
        <v>897</v>
      </c>
      <c r="H117" s="675" t="s">
        <v>1135</v>
      </c>
      <c r="J117" s="609" t="s">
        <v>90</v>
      </c>
    </row>
    <row r="118" spans="1:10">
      <c r="A118" s="620">
        <v>107</v>
      </c>
      <c r="B118" s="627" t="s">
        <v>926</v>
      </c>
      <c r="C118" s="623">
        <v>233151.20037000001</v>
      </c>
      <c r="D118" s="623">
        <v>231901.71997000001</v>
      </c>
      <c r="E118" s="624">
        <f t="shared" si="3"/>
        <v>1249.4804000000004</v>
      </c>
      <c r="F118" s="679"/>
      <c r="G118" s="675" t="s">
        <v>897</v>
      </c>
      <c r="H118" s="675" t="s">
        <v>1135</v>
      </c>
      <c r="J118" s="609" t="s">
        <v>90</v>
      </c>
    </row>
    <row r="119" spans="1:10">
      <c r="A119" s="620">
        <v>108</v>
      </c>
      <c r="B119" s="627" t="s">
        <v>925</v>
      </c>
      <c r="C119" s="623">
        <v>-562861.18615155003</v>
      </c>
      <c r="D119" s="623">
        <v>-386989.22224572999</v>
      </c>
      <c r="E119" s="624">
        <f t="shared" si="3"/>
        <v>-175871.96390582004</v>
      </c>
      <c r="F119" s="675" t="s">
        <v>1136</v>
      </c>
      <c r="G119" s="675" t="s">
        <v>897</v>
      </c>
      <c r="H119" s="675" t="s">
        <v>1135</v>
      </c>
      <c r="J119" s="609" t="s">
        <v>90</v>
      </c>
    </row>
    <row r="120" spans="1:10">
      <c r="A120" s="620">
        <v>109</v>
      </c>
      <c r="B120" s="627" t="s">
        <v>924</v>
      </c>
      <c r="C120" s="623">
        <v>-276325.57268415007</v>
      </c>
      <c r="D120" s="623">
        <v>-189984.70864689004</v>
      </c>
      <c r="E120" s="624">
        <f t="shared" si="3"/>
        <v>-86340.864037260035</v>
      </c>
      <c r="F120" s="675"/>
      <c r="G120" s="675" t="s">
        <v>897</v>
      </c>
      <c r="H120" s="675" t="s">
        <v>1135</v>
      </c>
      <c r="J120" s="609" t="s">
        <v>90</v>
      </c>
    </row>
    <row r="121" spans="1:10">
      <c r="A121" s="620">
        <v>110</v>
      </c>
      <c r="B121" s="627" t="s">
        <v>923</v>
      </c>
      <c r="C121" s="623">
        <v>-24416.417170199999</v>
      </c>
      <c r="D121" s="623">
        <v>-16787.247945319999</v>
      </c>
      <c r="E121" s="624">
        <f t="shared" si="3"/>
        <v>-7629.1692248799991</v>
      </c>
      <c r="F121" s="675" t="s">
        <v>1136</v>
      </c>
      <c r="G121" s="675" t="s">
        <v>897</v>
      </c>
      <c r="H121" s="675" t="s">
        <v>1135</v>
      </c>
      <c r="J121" s="609" t="s">
        <v>90</v>
      </c>
    </row>
    <row r="122" spans="1:10">
      <c r="A122" s="620">
        <v>111</v>
      </c>
      <c r="B122" s="627" t="s">
        <v>922</v>
      </c>
      <c r="C122" s="623">
        <v>-2939391.656256</v>
      </c>
      <c r="D122" s="623">
        <v>-2020947.4714496001</v>
      </c>
      <c r="E122" s="624">
        <f t="shared" si="3"/>
        <v>-918444.18480639998</v>
      </c>
      <c r="F122" s="675" t="s">
        <v>1136</v>
      </c>
      <c r="G122" s="675" t="s">
        <v>897</v>
      </c>
      <c r="H122" s="675" t="s">
        <v>1135</v>
      </c>
      <c r="J122" s="609" t="s">
        <v>90</v>
      </c>
    </row>
    <row r="123" spans="1:10">
      <c r="A123" s="620">
        <v>112</v>
      </c>
      <c r="B123" s="627" t="s">
        <v>921</v>
      </c>
      <c r="C123" s="623">
        <v>-71094.635175299991</v>
      </c>
      <c r="D123" s="623">
        <v>-48880.360289979995</v>
      </c>
      <c r="E123" s="624">
        <f t="shared" si="3"/>
        <v>-22214.274885319996</v>
      </c>
      <c r="F123" s="675" t="s">
        <v>1136</v>
      </c>
      <c r="G123" s="675" t="s">
        <v>897</v>
      </c>
      <c r="H123" s="675" t="s">
        <v>1135</v>
      </c>
      <c r="J123" s="609" t="s">
        <v>90</v>
      </c>
    </row>
    <row r="124" spans="1:10">
      <c r="A124" s="620">
        <v>113</v>
      </c>
      <c r="B124" s="627" t="s">
        <v>920</v>
      </c>
      <c r="C124" s="623">
        <v>-1763.3664674999998</v>
      </c>
      <c r="D124" s="623">
        <v>-1212.3838604999999</v>
      </c>
      <c r="E124" s="624">
        <f t="shared" si="3"/>
        <v>-550.98260699999992</v>
      </c>
      <c r="F124" s="675" t="s">
        <v>1136</v>
      </c>
      <c r="G124" s="675" t="s">
        <v>897</v>
      </c>
      <c r="H124" s="675" t="s">
        <v>1135</v>
      </c>
      <c r="J124" s="609" t="s">
        <v>90</v>
      </c>
    </row>
    <row r="125" spans="1:10">
      <c r="A125" s="620">
        <v>114</v>
      </c>
      <c r="B125" s="622" t="s">
        <v>919</v>
      </c>
      <c r="C125" s="623">
        <v>-111047.17393934989</v>
      </c>
      <c r="D125" s="623">
        <v>-76349.303403209924</v>
      </c>
      <c r="E125" s="624">
        <f t="shared" si="3"/>
        <v>-34697.870536139962</v>
      </c>
      <c r="F125" s="675" t="s">
        <v>1136</v>
      </c>
      <c r="G125" s="675" t="s">
        <v>897</v>
      </c>
      <c r="H125" s="675" t="s">
        <v>1135</v>
      </c>
      <c r="J125" s="609" t="s">
        <v>90</v>
      </c>
    </row>
    <row r="126" spans="1:10">
      <c r="A126" s="620">
        <v>115</v>
      </c>
      <c r="B126" s="622" t="s">
        <v>918</v>
      </c>
      <c r="C126" s="623">
        <v>111047.17393934989</v>
      </c>
      <c r="D126" s="623">
        <v>76349.303403209924</v>
      </c>
      <c r="E126" s="624">
        <f t="shared" si="3"/>
        <v>34697.870536139962</v>
      </c>
      <c r="F126" s="675" t="s">
        <v>1136</v>
      </c>
      <c r="G126" s="675" t="s">
        <v>897</v>
      </c>
      <c r="H126" s="675" t="s">
        <v>1135</v>
      </c>
      <c r="J126" s="609" t="s">
        <v>90</v>
      </c>
    </row>
    <row r="127" spans="1:10">
      <c r="A127" s="620">
        <v>116</v>
      </c>
      <c r="B127" s="622" t="s">
        <v>917</v>
      </c>
      <c r="C127" s="623">
        <v>213847.56664755</v>
      </c>
      <c r="D127" s="623">
        <v>147028.62007932999</v>
      </c>
      <c r="E127" s="624">
        <f t="shared" si="3"/>
        <v>66818.94656822001</v>
      </c>
      <c r="F127" s="675"/>
      <c r="G127" s="675" t="s">
        <v>897</v>
      </c>
      <c r="H127" s="675" t="s">
        <v>1135</v>
      </c>
      <c r="J127" s="609" t="s">
        <v>90</v>
      </c>
    </row>
    <row r="128" spans="1:10" ht="15" thickBot="1">
      <c r="A128" s="620">
        <v>117</v>
      </c>
      <c r="B128" s="628" t="s">
        <v>1038</v>
      </c>
      <c r="C128" s="615"/>
      <c r="D128" s="615"/>
      <c r="E128" s="748">
        <f>SUM(E12:E127)</f>
        <v>-80448117.987058342</v>
      </c>
      <c r="F128" s="676"/>
      <c r="G128" s="676"/>
      <c r="H128" s="676"/>
      <c r="J128" s="935" t="s">
        <v>1210</v>
      </c>
    </row>
    <row r="129" spans="1:10" ht="15" thickTop="1">
      <c r="A129" s="620">
        <v>118</v>
      </c>
      <c r="C129" s="616"/>
      <c r="D129" s="616"/>
      <c r="E129" s="616"/>
      <c r="F129" s="676"/>
      <c r="G129" s="676"/>
    </row>
    <row r="130" spans="1:10" ht="15" thickBot="1">
      <c r="A130" s="620">
        <v>119</v>
      </c>
      <c r="B130" s="628" t="s">
        <v>1037</v>
      </c>
      <c r="C130" s="615"/>
      <c r="D130" s="615"/>
      <c r="E130" s="749">
        <v>-80448122.709999993</v>
      </c>
      <c r="F130" s="677"/>
      <c r="G130" s="677"/>
      <c r="H130" s="677"/>
      <c r="J130" s="609" t="s">
        <v>90</v>
      </c>
    </row>
    <row r="131" spans="1:10" ht="15" thickTop="1"/>
  </sheetData>
  <mergeCells count="1">
    <mergeCell ref="C9:E9"/>
  </mergeCells>
  <pageMargins left="0.5" right="0.5" top="0.5" bottom="0.5" header="0" footer="0"/>
  <pageSetup paperSize="5" scale="7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Q40"/>
  <sheetViews>
    <sheetView view="pageBreakPreview" topLeftCell="D1" zoomScale="81" zoomScaleNormal="85" zoomScaleSheetLayoutView="81" workbookViewId="0"/>
  </sheetViews>
  <sheetFormatPr defaultColWidth="9.88671875" defaultRowHeight="14.25"/>
  <cols>
    <col min="1" max="1" width="4.6640625" style="661" customWidth="1"/>
    <col min="2" max="2" width="36.21875" style="663" customWidth="1"/>
    <col min="3" max="3" width="15.6640625" style="663" bestFit="1" customWidth="1"/>
    <col min="4" max="5" width="13.5546875" style="663" bestFit="1" customWidth="1"/>
    <col min="6" max="7" width="13.21875" style="663" bestFit="1" customWidth="1"/>
    <col min="8" max="10" width="13" style="663" bestFit="1" customWidth="1"/>
    <col min="11" max="12" width="13.21875" style="663" bestFit="1" customWidth="1"/>
    <col min="13" max="13" width="12.88671875" style="663" bestFit="1" customWidth="1"/>
    <col min="14" max="14" width="13.21875" style="663" bestFit="1" customWidth="1"/>
    <col min="15" max="30" width="12.88671875" style="663" bestFit="1" customWidth="1"/>
    <col min="31" max="32" width="12" style="663" bestFit="1" customWidth="1"/>
    <col min="33" max="33" width="12.33203125" style="663" bestFit="1" customWidth="1"/>
    <col min="34" max="34" width="12" style="663" bestFit="1" customWidth="1"/>
    <col min="35" max="37" width="12.33203125" style="663" bestFit="1" customWidth="1"/>
    <col min="38" max="40" width="12" style="663" bestFit="1" customWidth="1"/>
    <col min="41" max="41" width="11.21875" style="661" customWidth="1"/>
    <col min="42" max="42" width="10.5546875" style="661" customWidth="1"/>
    <col min="43" max="43" width="11.33203125" style="661" customWidth="1"/>
    <col min="44" max="16384" width="9.88671875" style="661"/>
  </cols>
  <sheetData>
    <row r="1" spans="1:43" s="640" customFormat="1" ht="15">
      <c r="A1" s="259" t="str">
        <f>'Exhibit 1a'!A1</f>
        <v>VERSANT POWER – MAINE PUBLIC DISTRICT OATT</v>
      </c>
      <c r="C1" s="637"/>
      <c r="D1" s="637"/>
      <c r="AO1" s="653"/>
      <c r="AQ1" s="653" t="s">
        <v>48</v>
      </c>
    </row>
    <row r="2" spans="1:43" s="640" customFormat="1" ht="15">
      <c r="A2" s="259" t="str">
        <f>'Exhibit 1a'!A2</f>
        <v>ATTACHMENT J FORMULA RATES</v>
      </c>
      <c r="C2" s="637"/>
      <c r="D2" s="637"/>
      <c r="AO2" s="659"/>
      <c r="AQ2" s="659" t="s">
        <v>1155</v>
      </c>
    </row>
    <row r="3" spans="1:43" s="640" customFormat="1" ht="15">
      <c r="A3" s="259" t="str">
        <f>'Exhibit 1a'!A3</f>
        <v>RATE YEAR JUNE 1, 2020 TO MAY 31, 2021</v>
      </c>
      <c r="C3" s="637"/>
      <c r="D3" s="637"/>
    </row>
    <row r="4" spans="1:43" s="640" customFormat="1" ht="15">
      <c r="A4" s="259" t="str">
        <f>'Exhibit 1a'!A4</f>
        <v>Actual ATRR &amp; CHARGES BASED ON ACTUAL CY 2020 VALUES</v>
      </c>
      <c r="G4" s="660"/>
      <c r="H4" s="660"/>
    </row>
    <row r="5" spans="1:43" s="640" customFormat="1" ht="15">
      <c r="A5" s="641"/>
      <c r="G5" s="660"/>
      <c r="H5" s="660"/>
    </row>
    <row r="6" spans="1:43" s="640" customFormat="1" ht="15">
      <c r="A6" s="641" t="s">
        <v>1154</v>
      </c>
      <c r="G6" s="660"/>
      <c r="H6" s="660"/>
    </row>
    <row r="7" spans="1:43" s="640" customFormat="1" ht="15">
      <c r="C7" s="658" t="s">
        <v>66</v>
      </c>
      <c r="D7" s="658" t="s">
        <v>43</v>
      </c>
      <c r="E7" s="658" t="s">
        <v>65</v>
      </c>
      <c r="F7" s="658" t="s">
        <v>64</v>
      </c>
      <c r="G7" s="670" t="s">
        <v>63</v>
      </c>
      <c r="H7" s="670" t="s">
        <v>62</v>
      </c>
      <c r="I7" s="658" t="s">
        <v>368</v>
      </c>
      <c r="J7" s="658" t="s">
        <v>369</v>
      </c>
      <c r="K7" s="658" t="s">
        <v>370</v>
      </c>
      <c r="L7" s="658" t="s">
        <v>371</v>
      </c>
      <c r="M7" s="658" t="s">
        <v>372</v>
      </c>
      <c r="N7" s="658" t="s">
        <v>373</v>
      </c>
      <c r="O7" s="658" t="s">
        <v>374</v>
      </c>
      <c r="P7" s="658" t="s">
        <v>1104</v>
      </c>
      <c r="Q7" s="658" t="s">
        <v>375</v>
      </c>
      <c r="R7" s="658" t="s">
        <v>1105</v>
      </c>
      <c r="S7" s="658" t="s">
        <v>377</v>
      </c>
      <c r="T7" s="658" t="s">
        <v>1106</v>
      </c>
      <c r="U7" s="658" t="s">
        <v>1107</v>
      </c>
      <c r="V7" s="658" t="s">
        <v>1108</v>
      </c>
      <c r="W7" s="658" t="s">
        <v>1109</v>
      </c>
      <c r="X7" s="658" t="s">
        <v>1110</v>
      </c>
      <c r="Y7" s="658" t="s">
        <v>1111</v>
      </c>
      <c r="Z7" s="658" t="s">
        <v>1112</v>
      </c>
      <c r="AA7" s="658" t="s">
        <v>1113</v>
      </c>
      <c r="AB7" s="658" t="s">
        <v>1114</v>
      </c>
      <c r="AC7" s="658" t="s">
        <v>1115</v>
      </c>
      <c r="AD7" s="658" t="s">
        <v>1116</v>
      </c>
      <c r="AE7" s="658" t="s">
        <v>1117</v>
      </c>
      <c r="AF7" s="658" t="s">
        <v>1118</v>
      </c>
      <c r="AG7" s="658" t="s">
        <v>1119</v>
      </c>
      <c r="AH7" s="658" t="s">
        <v>1120</v>
      </c>
      <c r="AI7" s="658" t="s">
        <v>1121</v>
      </c>
      <c r="AJ7" s="658" t="s">
        <v>1122</v>
      </c>
      <c r="AK7" s="658" t="s">
        <v>1123</v>
      </c>
      <c r="AL7" s="658" t="s">
        <v>1124</v>
      </c>
      <c r="AM7" s="658" t="s">
        <v>1125</v>
      </c>
      <c r="AN7" s="658" t="s">
        <v>1126</v>
      </c>
      <c r="AO7" s="658" t="s">
        <v>1127</v>
      </c>
      <c r="AP7" s="658" t="s">
        <v>1128</v>
      </c>
      <c r="AQ7" s="658" t="s">
        <v>1129</v>
      </c>
    </row>
    <row r="8" spans="1:43">
      <c r="B8" s="662"/>
      <c r="C8" s="662"/>
      <c r="E8" s="662"/>
      <c r="F8" s="662"/>
      <c r="G8" s="662"/>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row>
    <row r="9" spans="1:43" s="672" customFormat="1" ht="15">
      <c r="A9" s="671" t="s">
        <v>14</v>
      </c>
      <c r="B9" s="671" t="s">
        <v>13</v>
      </c>
      <c r="C9" s="673">
        <v>2017</v>
      </c>
      <c r="D9" s="673">
        <v>2018</v>
      </c>
      <c r="E9" s="673">
        <v>2019</v>
      </c>
      <c r="F9" s="673">
        <v>2020</v>
      </c>
      <c r="G9" s="673">
        <v>2021</v>
      </c>
      <c r="H9" s="673">
        <v>2022</v>
      </c>
      <c r="I9" s="673">
        <v>2023</v>
      </c>
      <c r="J9" s="673">
        <v>2024</v>
      </c>
      <c r="K9" s="673">
        <v>2025</v>
      </c>
      <c r="L9" s="673">
        <v>2026</v>
      </c>
      <c r="M9" s="673">
        <v>2027</v>
      </c>
      <c r="N9" s="673">
        <v>2028</v>
      </c>
      <c r="O9" s="673">
        <v>2029</v>
      </c>
      <c r="P9" s="673">
        <v>2030</v>
      </c>
      <c r="Q9" s="673">
        <v>2031</v>
      </c>
      <c r="R9" s="673">
        <v>2032</v>
      </c>
      <c r="S9" s="673">
        <v>2033</v>
      </c>
      <c r="T9" s="673">
        <v>2034</v>
      </c>
      <c r="U9" s="673">
        <v>2035</v>
      </c>
      <c r="V9" s="673">
        <v>2036</v>
      </c>
      <c r="W9" s="673">
        <v>2037</v>
      </c>
      <c r="X9" s="673">
        <v>2038</v>
      </c>
      <c r="Y9" s="673">
        <v>2039</v>
      </c>
      <c r="Z9" s="673">
        <v>2040</v>
      </c>
      <c r="AA9" s="673">
        <v>2041</v>
      </c>
      <c r="AB9" s="673">
        <v>2042</v>
      </c>
      <c r="AC9" s="673">
        <v>2043</v>
      </c>
      <c r="AD9" s="673">
        <v>2044</v>
      </c>
      <c r="AE9" s="673">
        <v>2045</v>
      </c>
      <c r="AF9" s="673">
        <v>2046</v>
      </c>
      <c r="AG9" s="673">
        <v>2047</v>
      </c>
      <c r="AH9" s="673">
        <v>2048</v>
      </c>
      <c r="AI9" s="673">
        <v>2049</v>
      </c>
      <c r="AJ9" s="673">
        <v>2050</v>
      </c>
      <c r="AK9" s="673">
        <v>2051</v>
      </c>
      <c r="AL9" s="673">
        <v>2052</v>
      </c>
      <c r="AM9" s="673">
        <v>2053</v>
      </c>
      <c r="AN9" s="673">
        <v>2054</v>
      </c>
      <c r="AO9" s="673">
        <v>2055</v>
      </c>
      <c r="AP9" s="673">
        <v>2056</v>
      </c>
      <c r="AQ9" s="673">
        <v>2057</v>
      </c>
    </row>
    <row r="10" spans="1:43" s="664" customFormat="1"/>
    <row r="11" spans="1:43" s="665" customFormat="1">
      <c r="A11" s="236">
        <v>1</v>
      </c>
      <c r="B11" s="667" t="s">
        <v>1087</v>
      </c>
      <c r="C11" s="667">
        <v>-46459411</v>
      </c>
      <c r="D11" s="667">
        <v>-23510358</v>
      </c>
      <c r="E11" s="667">
        <v>-20078936</v>
      </c>
      <c r="F11" s="667">
        <v>-18121498</v>
      </c>
      <c r="G11" s="667">
        <v>-16729251</v>
      </c>
      <c r="H11" s="667">
        <v>-14906544</v>
      </c>
      <c r="I11" s="667">
        <v>-8737578</v>
      </c>
      <c r="J11" s="667">
        <v>-8168366</v>
      </c>
      <c r="K11" s="667">
        <v>-7931906</v>
      </c>
      <c r="L11" s="667">
        <v>-7617470</v>
      </c>
      <c r="M11" s="667">
        <v>-7051068</v>
      </c>
      <c r="N11" s="667">
        <v>-5172309</v>
      </c>
      <c r="O11" s="667">
        <v>-4855986</v>
      </c>
      <c r="P11" s="667">
        <v>-4546512</v>
      </c>
      <c r="Q11" s="667">
        <v>-4161609</v>
      </c>
      <c r="R11" s="667">
        <v>-3958544</v>
      </c>
      <c r="S11" s="667">
        <v>-3246482</v>
      </c>
      <c r="T11" s="667">
        <v>-2592787</v>
      </c>
      <c r="U11" s="667">
        <v>-2022028</v>
      </c>
      <c r="V11" s="667">
        <v>-1495872</v>
      </c>
      <c r="W11" s="667">
        <v>-665909</v>
      </c>
      <c r="X11" s="667">
        <v>-333912</v>
      </c>
      <c r="Y11" s="667">
        <v>0</v>
      </c>
      <c r="Z11" s="667">
        <v>0</v>
      </c>
      <c r="AA11" s="667">
        <v>0</v>
      </c>
      <c r="AB11" s="667">
        <v>0</v>
      </c>
      <c r="AC11" s="667">
        <v>0</v>
      </c>
      <c r="AD11" s="667">
        <v>0</v>
      </c>
      <c r="AE11" s="667">
        <v>0</v>
      </c>
      <c r="AF11" s="667">
        <v>0</v>
      </c>
      <c r="AG11" s="667">
        <v>0</v>
      </c>
      <c r="AH11" s="667">
        <v>0</v>
      </c>
      <c r="AI11" s="667">
        <v>0</v>
      </c>
      <c r="AJ11" s="667">
        <v>0</v>
      </c>
      <c r="AK11" s="667">
        <v>0</v>
      </c>
      <c r="AL11" s="667">
        <v>0</v>
      </c>
      <c r="AM11" s="667">
        <v>0</v>
      </c>
      <c r="AN11" s="667">
        <v>0</v>
      </c>
      <c r="AO11" s="667">
        <v>0</v>
      </c>
      <c r="AP11" s="667">
        <v>0</v>
      </c>
      <c r="AQ11" s="667">
        <v>0</v>
      </c>
    </row>
    <row r="12" spans="1:43" s="665" customFormat="1">
      <c r="A12" s="236">
        <v>2</v>
      </c>
      <c r="B12" s="667" t="s">
        <v>1088</v>
      </c>
      <c r="C12" s="667">
        <v>-26598141.790000021</v>
      </c>
      <c r="D12" s="667">
        <v>-26826246.990000006</v>
      </c>
      <c r="E12" s="667">
        <v>-25145753.190000009</v>
      </c>
      <c r="F12" s="667">
        <v>-24386971.470000003</v>
      </c>
      <c r="G12" s="667">
        <v>-23618863</v>
      </c>
      <c r="H12" s="667">
        <v>-23113180.200000003</v>
      </c>
      <c r="I12" s="667">
        <v>-22697027.039999992</v>
      </c>
      <c r="J12" s="667">
        <v>-22080798.769999996</v>
      </c>
      <c r="K12" s="667">
        <v>-21784796.999999989</v>
      </c>
      <c r="L12" s="667">
        <v>-21380508.059999987</v>
      </c>
      <c r="M12" s="667">
        <v>-21085614.75999999</v>
      </c>
      <c r="N12" s="667">
        <v>-19976829.189999994</v>
      </c>
      <c r="O12" s="667">
        <v>-18527454.669999987</v>
      </c>
      <c r="P12" s="667">
        <v>-18081399.949999984</v>
      </c>
      <c r="Q12" s="667">
        <v>-17901305.36999999</v>
      </c>
      <c r="R12" s="667">
        <v>-17635733.189999994</v>
      </c>
      <c r="S12" s="667">
        <v>-17389640.890000001</v>
      </c>
      <c r="T12" s="667">
        <v>-17189119.27</v>
      </c>
      <c r="U12" s="667">
        <v>-16817294.289999999</v>
      </c>
      <c r="V12" s="667">
        <v>-16446943.330000004</v>
      </c>
      <c r="W12" s="667">
        <v>-16147742.779999999</v>
      </c>
      <c r="X12" s="667">
        <v>-15766506.530000005</v>
      </c>
      <c r="Y12" s="667">
        <v>-19656339.969999988</v>
      </c>
      <c r="Z12" s="667">
        <v>-19327520.560000002</v>
      </c>
      <c r="AA12" s="667">
        <v>-18491101.699999999</v>
      </c>
      <c r="AB12" s="667">
        <v>-17872267.18</v>
      </c>
      <c r="AC12" s="667">
        <v>-16565091.090000005</v>
      </c>
      <c r="AD12" s="667">
        <v>-15756792.680000002</v>
      </c>
      <c r="AE12" s="667">
        <v>-13033987.980000002</v>
      </c>
      <c r="AF12" s="667">
        <v>-12200066.660000004</v>
      </c>
      <c r="AG12" s="667">
        <v>-10471967.700000009</v>
      </c>
      <c r="AH12" s="667">
        <v>-10062348.620000007</v>
      </c>
      <c r="AI12" s="667">
        <v>-9772779.3300000019</v>
      </c>
      <c r="AJ12" s="667">
        <v>-9160410.9900000002</v>
      </c>
      <c r="AK12" s="667">
        <v>-8833392.6900000013</v>
      </c>
      <c r="AL12" s="667">
        <v>-8530617.8700000029</v>
      </c>
      <c r="AM12" s="667">
        <v>-7818118.9300000034</v>
      </c>
      <c r="AN12" s="667">
        <v>-6966164.6600000029</v>
      </c>
      <c r="AO12" s="667">
        <v>-6032500.2700000023</v>
      </c>
      <c r="AP12" s="667">
        <v>-5492510.4900000039</v>
      </c>
      <c r="AQ12" s="667">
        <v>-4479599.9700000016</v>
      </c>
    </row>
    <row r="13" spans="1:43" s="665" customFormat="1">
      <c r="A13" s="236">
        <v>3</v>
      </c>
      <c r="B13" s="667" t="s">
        <v>1089</v>
      </c>
      <c r="C13" s="667">
        <v>-474421816.59000009</v>
      </c>
      <c r="D13" s="667">
        <v>-471001046.29000032</v>
      </c>
      <c r="E13" s="667">
        <v>-465923069.75</v>
      </c>
      <c r="F13" s="667">
        <v>-459657596.38999981</v>
      </c>
      <c r="G13" s="667">
        <v>-452767943.37000018</v>
      </c>
      <c r="H13" s="667">
        <v>-444561271.65000004</v>
      </c>
      <c r="I13" s="667">
        <v>-430601733.47999936</v>
      </c>
      <c r="J13" s="667">
        <v>-416689300.9199999</v>
      </c>
      <c r="K13" s="667">
        <v>-402835940.3999998</v>
      </c>
      <c r="L13" s="667">
        <v>-389072902.46999979</v>
      </c>
      <c r="M13" s="667">
        <v>-375038210.56999999</v>
      </c>
      <c r="N13" s="667">
        <v>-360233690.39000028</v>
      </c>
      <c r="O13" s="667">
        <v>-346562172.15999979</v>
      </c>
      <c r="P13" s="667">
        <v>-333027284.31</v>
      </c>
      <c r="Q13" s="667">
        <v>-319289107.82000011</v>
      </c>
      <c r="R13" s="667">
        <v>-305611395.13999981</v>
      </c>
      <c r="S13" s="667">
        <v>-291467767.88999999</v>
      </c>
      <c r="T13" s="667">
        <v>-276871435.49000007</v>
      </c>
      <c r="U13" s="667">
        <v>-262074211.07000002</v>
      </c>
      <c r="V13" s="667">
        <v>-247120268.59999987</v>
      </c>
      <c r="W13" s="667">
        <v>-231635388.64000016</v>
      </c>
      <c r="X13" s="667">
        <v>-216202719.70000002</v>
      </c>
      <c r="Y13" s="667">
        <v>-195905868.28999996</v>
      </c>
      <c r="Z13" s="667">
        <v>-176569515.45000005</v>
      </c>
      <c r="AA13" s="667">
        <v>-158048954.19000012</v>
      </c>
      <c r="AB13" s="667">
        <v>-140152199.85000002</v>
      </c>
      <c r="AC13" s="667">
        <v>-123491130.9299999</v>
      </c>
      <c r="AD13" s="667">
        <v>-107607185.86</v>
      </c>
      <c r="AE13" s="667">
        <v>-94549591.720000058</v>
      </c>
      <c r="AF13" s="667">
        <v>-82347404.509999976</v>
      </c>
      <c r="AG13" s="667">
        <v>-71367497.209999979</v>
      </c>
      <c r="AH13" s="667">
        <v>-60971243.289999992</v>
      </c>
      <c r="AI13" s="667">
        <v>-50885829.709999986</v>
      </c>
      <c r="AJ13" s="667">
        <v>-41598218.659999989</v>
      </c>
      <c r="AK13" s="667">
        <v>-32695474.25</v>
      </c>
      <c r="AL13" s="667">
        <v>-23770514.470000017</v>
      </c>
      <c r="AM13" s="667">
        <v>-15939764.200000007</v>
      </c>
      <c r="AN13" s="667">
        <v>-8948497.700000003</v>
      </c>
      <c r="AO13" s="667">
        <v>-991673.7799999977</v>
      </c>
      <c r="AP13" s="667">
        <v>5282785.2099999879</v>
      </c>
      <c r="AQ13" s="667">
        <v>9786662.4000000153</v>
      </c>
    </row>
    <row r="14" spans="1:43" s="665" customFormat="1">
      <c r="A14" s="236">
        <v>4</v>
      </c>
      <c r="B14" s="667" t="s">
        <v>1090</v>
      </c>
      <c r="C14" s="667">
        <v>-19861269.229999997</v>
      </c>
      <c r="D14" s="667">
        <v>3315888.9699999993</v>
      </c>
      <c r="E14" s="667">
        <v>5066817.1700000018</v>
      </c>
      <c r="F14" s="667">
        <v>6265473.4600000037</v>
      </c>
      <c r="G14" s="667">
        <v>6889611.9800000023</v>
      </c>
      <c r="H14" s="667">
        <v>8206636.1800000044</v>
      </c>
      <c r="I14" s="667">
        <v>13959449.019999988</v>
      </c>
      <c r="J14" s="667">
        <v>13912432.769999992</v>
      </c>
      <c r="K14" s="667">
        <v>13852890.999999991</v>
      </c>
      <c r="L14" s="667">
        <v>13763038.079999985</v>
      </c>
      <c r="M14" s="667">
        <v>14034546.76999999</v>
      </c>
      <c r="N14" s="667">
        <v>14804520.199999992</v>
      </c>
      <c r="O14" s="667">
        <v>13671468.679999996</v>
      </c>
      <c r="P14" s="667">
        <v>13534887.959999992</v>
      </c>
      <c r="Q14" s="667">
        <v>13739696.379999995</v>
      </c>
      <c r="R14" s="667">
        <v>13677189.199999997</v>
      </c>
      <c r="S14" s="667">
        <v>14143158.900000002</v>
      </c>
      <c r="T14" s="667">
        <v>14596332.280000001</v>
      </c>
      <c r="U14" s="667">
        <v>14795266.289999999</v>
      </c>
      <c r="V14" s="667">
        <v>14951071.330000004</v>
      </c>
      <c r="W14" s="667">
        <v>15481833.799999999</v>
      </c>
      <c r="X14" s="667">
        <v>15432594.550000004</v>
      </c>
      <c r="Y14" s="667">
        <v>19656339.969999988</v>
      </c>
      <c r="Z14" s="667">
        <v>19327520.560000002</v>
      </c>
      <c r="AA14" s="667">
        <v>18491101.699999999</v>
      </c>
      <c r="AB14" s="667">
        <v>17872267.18</v>
      </c>
      <c r="AC14" s="667">
        <v>16565091.090000005</v>
      </c>
      <c r="AD14" s="667">
        <v>15756792.680000002</v>
      </c>
      <c r="AE14" s="667">
        <v>13033987.980000002</v>
      </c>
      <c r="AF14" s="667">
        <v>12200066.660000004</v>
      </c>
      <c r="AG14" s="667">
        <v>10471967.700000009</v>
      </c>
      <c r="AH14" s="667">
        <v>10062348.620000007</v>
      </c>
      <c r="AI14" s="667">
        <v>9772779.3300000019</v>
      </c>
      <c r="AJ14" s="667">
        <v>9160410.9900000002</v>
      </c>
      <c r="AK14" s="667">
        <v>8833392.6900000013</v>
      </c>
      <c r="AL14" s="667">
        <v>8530617.8700000029</v>
      </c>
      <c r="AM14" s="667">
        <v>7818118.9300000034</v>
      </c>
      <c r="AN14" s="667">
        <v>6966164.6600000029</v>
      </c>
      <c r="AO14" s="667">
        <v>6032500.2700000023</v>
      </c>
      <c r="AP14" s="667">
        <v>5492510.4900000039</v>
      </c>
      <c r="AQ14" s="667">
        <v>4479599.9700000016</v>
      </c>
    </row>
    <row r="15" spans="1:43" s="665" customFormat="1">
      <c r="A15" s="236">
        <v>5</v>
      </c>
      <c r="B15" s="667" t="s">
        <v>1091</v>
      </c>
      <c r="C15" s="667">
        <v>17115</v>
      </c>
      <c r="D15" s="667">
        <v>12054</v>
      </c>
      <c r="E15" s="667">
        <v>11949</v>
      </c>
      <c r="F15" s="667">
        <v>11844</v>
      </c>
      <c r="G15" s="667">
        <v>11739</v>
      </c>
      <c r="H15" s="667">
        <v>11592</v>
      </c>
      <c r="I15" s="667">
        <v>11487</v>
      </c>
      <c r="J15" s="667">
        <v>11382</v>
      </c>
      <c r="K15" s="667">
        <v>11277</v>
      </c>
      <c r="L15" s="667">
        <v>11193</v>
      </c>
      <c r="M15" s="667">
        <v>11088</v>
      </c>
      <c r="N15" s="667">
        <v>10983</v>
      </c>
      <c r="O15" s="667">
        <v>10836</v>
      </c>
      <c r="P15" s="667">
        <v>10752</v>
      </c>
      <c r="Q15" s="667">
        <v>10605</v>
      </c>
      <c r="R15" s="667">
        <v>10542</v>
      </c>
      <c r="S15" s="667">
        <v>10458</v>
      </c>
      <c r="T15" s="667">
        <v>10374</v>
      </c>
      <c r="U15" s="667">
        <v>10206</v>
      </c>
      <c r="V15" s="667">
        <v>10080</v>
      </c>
      <c r="W15" s="667">
        <v>9954</v>
      </c>
      <c r="X15" s="667">
        <v>9849</v>
      </c>
      <c r="Y15" s="667">
        <v>7266</v>
      </c>
      <c r="Z15" s="667">
        <v>7119</v>
      </c>
      <c r="AA15" s="667">
        <v>6972</v>
      </c>
      <c r="AB15" s="667">
        <v>6804</v>
      </c>
      <c r="AC15" s="667">
        <v>6636</v>
      </c>
      <c r="AD15" s="667">
        <v>6510</v>
      </c>
      <c r="AE15" s="667">
        <v>6363</v>
      </c>
      <c r="AF15" s="667">
        <v>6216</v>
      </c>
      <c r="AG15" s="667">
        <v>6048</v>
      </c>
      <c r="AH15" s="667">
        <v>5859</v>
      </c>
      <c r="AI15" s="667">
        <v>5691</v>
      </c>
      <c r="AJ15" s="667">
        <v>5565</v>
      </c>
      <c r="AK15" s="667">
        <v>5397</v>
      </c>
      <c r="AL15" s="667">
        <v>5292</v>
      </c>
      <c r="AM15" s="667">
        <v>5229</v>
      </c>
      <c r="AN15" s="667">
        <v>5061</v>
      </c>
      <c r="AO15" s="667">
        <v>4872</v>
      </c>
      <c r="AP15" s="667">
        <v>4746</v>
      </c>
      <c r="AQ15" s="667">
        <v>4641</v>
      </c>
    </row>
    <row r="16" spans="1:43" s="665" customFormat="1">
      <c r="A16" s="236">
        <v>6</v>
      </c>
      <c r="B16" s="667" t="s">
        <v>1092</v>
      </c>
      <c r="C16" s="667">
        <v>14439.494648000004</v>
      </c>
      <c r="D16" s="667">
        <v>13739.494648000002</v>
      </c>
      <c r="E16" s="667">
        <v>13634.494648000002</v>
      </c>
      <c r="F16" s="667">
        <v>13564.494648000002</v>
      </c>
      <c r="G16" s="667">
        <v>13459.494648</v>
      </c>
      <c r="H16" s="667">
        <v>13354.494648</v>
      </c>
      <c r="I16" s="667">
        <v>13214.494648</v>
      </c>
      <c r="J16" s="667">
        <v>13109.494648</v>
      </c>
      <c r="K16" s="667">
        <v>12969.494648</v>
      </c>
      <c r="L16" s="667">
        <v>12864.494648</v>
      </c>
      <c r="M16" s="667">
        <v>12689.494648</v>
      </c>
      <c r="N16" s="667">
        <v>12549.494648</v>
      </c>
      <c r="O16" s="667">
        <v>12374.494648</v>
      </c>
      <c r="P16" s="667">
        <v>12269.494648</v>
      </c>
      <c r="Q16" s="667">
        <v>12024.494648</v>
      </c>
      <c r="R16" s="667">
        <v>11919.494648</v>
      </c>
      <c r="S16" s="667">
        <v>11779.494648</v>
      </c>
      <c r="T16" s="667">
        <v>11674.494648</v>
      </c>
      <c r="U16" s="667">
        <v>11464.494648</v>
      </c>
      <c r="V16" s="667">
        <v>11324.494648</v>
      </c>
      <c r="W16" s="667">
        <v>11184.494648</v>
      </c>
      <c r="X16" s="667">
        <v>11044.494648</v>
      </c>
      <c r="Y16" s="667">
        <v>10030.827864000001</v>
      </c>
      <c r="Z16" s="667">
        <v>9855.8278640000008</v>
      </c>
      <c r="AA16" s="667">
        <v>9680.8278640000008</v>
      </c>
      <c r="AB16" s="667">
        <v>9470.8278640000008</v>
      </c>
      <c r="AC16" s="667">
        <v>9225.8278640000008</v>
      </c>
      <c r="AD16" s="667">
        <v>9015.8278640000008</v>
      </c>
      <c r="AE16" s="667">
        <v>8770.8278640000026</v>
      </c>
      <c r="AF16" s="667">
        <v>8525.8278640000044</v>
      </c>
      <c r="AG16" s="667">
        <v>8280.8278640000044</v>
      </c>
      <c r="AH16" s="667">
        <v>8001.0992020000012</v>
      </c>
      <c r="AI16" s="667">
        <v>7757.6406900000011</v>
      </c>
      <c r="AJ16" s="667">
        <v>7557.117416000001</v>
      </c>
      <c r="AK16" s="667">
        <v>7312.117416000001</v>
      </c>
      <c r="AL16" s="667">
        <v>7172.8338070000009</v>
      </c>
      <c r="AM16" s="667">
        <v>7067.8338070000009</v>
      </c>
      <c r="AN16" s="667">
        <v>6892.8338070000009</v>
      </c>
      <c r="AO16" s="667">
        <v>6616.0793120000017</v>
      </c>
      <c r="AP16" s="667">
        <v>6476.8063470000016</v>
      </c>
      <c r="AQ16" s="667">
        <v>6336.8063470000016</v>
      </c>
    </row>
    <row r="17" spans="1:43" s="665" customFormat="1">
      <c r="A17" s="236">
        <v>7</v>
      </c>
      <c r="B17" s="667" t="s">
        <v>1093</v>
      </c>
      <c r="C17" s="667">
        <v>-166047635.77999985</v>
      </c>
      <c r="D17" s="667">
        <v>-165314590.5500001</v>
      </c>
      <c r="E17" s="667">
        <v>-164246508.68000022</v>
      </c>
      <c r="F17" s="667">
        <v>-162930695.28000012</v>
      </c>
      <c r="G17" s="667">
        <v>-161483785.34000003</v>
      </c>
      <c r="H17" s="667">
        <v>-159760320.54000017</v>
      </c>
      <c r="I17" s="667">
        <v>-156828746.58999994</v>
      </c>
      <c r="J17" s="667">
        <v>-153907092.5</v>
      </c>
      <c r="K17" s="667">
        <v>-150996930.82000005</v>
      </c>
      <c r="L17" s="667">
        <v>-148105439.08999988</v>
      </c>
      <c r="M17" s="667">
        <v>-145018433.94999999</v>
      </c>
      <c r="N17" s="667">
        <v>-141908506.31999999</v>
      </c>
      <c r="O17" s="667">
        <v>-139036326.73999998</v>
      </c>
      <c r="P17" s="667">
        <v>-136193742.35999995</v>
      </c>
      <c r="Q17" s="667">
        <v>-133304769.25000001</v>
      </c>
      <c r="R17" s="667">
        <v>-130430654.78999999</v>
      </c>
      <c r="S17" s="667">
        <v>-127458537.04999995</v>
      </c>
      <c r="T17" s="667">
        <v>-124392654.28000009</v>
      </c>
      <c r="U17" s="667">
        <v>-121279109.86000006</v>
      </c>
      <c r="V17" s="667">
        <v>-118131321.97999993</v>
      </c>
      <c r="W17" s="667">
        <v>-114867371.16000001</v>
      </c>
      <c r="X17" s="667">
        <v>-111626098.91</v>
      </c>
      <c r="Y17" s="667">
        <v>-103958138.96999998</v>
      </c>
      <c r="Z17" s="667">
        <v>-99783810.450000003</v>
      </c>
      <c r="AA17" s="667">
        <v>-95701121.75000003</v>
      </c>
      <c r="AB17" s="667">
        <v>-91764073.000000015</v>
      </c>
      <c r="AC17" s="667">
        <v>-87641993.919999987</v>
      </c>
      <c r="AD17" s="667">
        <v>-83864786.680000007</v>
      </c>
      <c r="AE17" s="667">
        <v>-80821854.270000085</v>
      </c>
      <c r="AF17" s="667">
        <v>-77539881.899999976</v>
      </c>
      <c r="AG17" s="667">
        <v>-74249466.299999982</v>
      </c>
      <c r="AH17" s="667">
        <v>-71554741.410000026</v>
      </c>
      <c r="AI17" s="667">
        <v>-68548342.939999998</v>
      </c>
      <c r="AJ17" s="667">
        <v>-66447807.030000031</v>
      </c>
      <c r="AK17" s="667">
        <v>-64361384.730000004</v>
      </c>
      <c r="AL17" s="667">
        <v>-61556748.709999993</v>
      </c>
      <c r="AM17" s="667">
        <v>-59766100.770000003</v>
      </c>
      <c r="AN17" s="667">
        <v>-57989212.530000038</v>
      </c>
      <c r="AO17" s="667">
        <v>-46893723.549999997</v>
      </c>
      <c r="AP17" s="667">
        <v>-42542934.839999981</v>
      </c>
      <c r="AQ17" s="667">
        <v>-40824176.95000004</v>
      </c>
    </row>
    <row r="18" spans="1:43" s="665" customFormat="1">
      <c r="A18" s="236">
        <v>8</v>
      </c>
      <c r="B18" s="667" t="s">
        <v>1094</v>
      </c>
      <c r="C18" s="667">
        <v>-6951444.309999994</v>
      </c>
      <c r="D18" s="667">
        <v>696336.68000000028</v>
      </c>
      <c r="E18" s="667">
        <v>1064031.5700000012</v>
      </c>
      <c r="F18" s="667">
        <v>1315749.4200000002</v>
      </c>
      <c r="G18" s="667">
        <v>1446818.5100000019</v>
      </c>
      <c r="H18" s="667">
        <v>1723393.6699999997</v>
      </c>
      <c r="I18" s="667">
        <v>2931484.2899999977</v>
      </c>
      <c r="J18" s="667">
        <v>2921610.8800000004</v>
      </c>
      <c r="K18" s="667">
        <v>2909107.1300000004</v>
      </c>
      <c r="L18" s="667">
        <v>2890238.0100000007</v>
      </c>
      <c r="M18" s="667">
        <v>2947254.8500000006</v>
      </c>
      <c r="N18" s="667">
        <v>3108949.3300000005</v>
      </c>
      <c r="O18" s="667">
        <v>2871008.4800000004</v>
      </c>
      <c r="P18" s="667">
        <v>2842326.5399999996</v>
      </c>
      <c r="Q18" s="667">
        <v>2885336.3000000003</v>
      </c>
      <c r="R18" s="667">
        <v>2872209.7899999991</v>
      </c>
      <c r="S18" s="667">
        <v>2970063.4200000004</v>
      </c>
      <c r="T18" s="667">
        <v>3065229.8899999978</v>
      </c>
      <c r="U18" s="667">
        <v>3107005.9599999972</v>
      </c>
      <c r="V18" s="667">
        <v>3139725.0399999968</v>
      </c>
      <c r="W18" s="667">
        <v>3251185.1099999985</v>
      </c>
      <c r="X18" s="667">
        <v>3240844.93</v>
      </c>
      <c r="Y18" s="667">
        <v>4127831.4300000006</v>
      </c>
      <c r="Z18" s="667">
        <v>4058779.3600000022</v>
      </c>
      <c r="AA18" s="667">
        <v>3883131.370000001</v>
      </c>
      <c r="AB18" s="667">
        <v>3753176.16</v>
      </c>
      <c r="AC18" s="667">
        <v>3478669.1500000004</v>
      </c>
      <c r="AD18" s="667">
        <v>3308926.49</v>
      </c>
      <c r="AE18" s="667">
        <v>2737137.5199999986</v>
      </c>
      <c r="AF18" s="667">
        <v>2562014.0299999998</v>
      </c>
      <c r="AG18" s="667">
        <v>2199113.2800000012</v>
      </c>
      <c r="AH18" s="667">
        <v>2113093.2600000012</v>
      </c>
      <c r="AI18" s="667">
        <v>2052283.7200000009</v>
      </c>
      <c r="AJ18" s="667">
        <v>1923686.3800000011</v>
      </c>
      <c r="AK18" s="667">
        <v>1855012.5200000009</v>
      </c>
      <c r="AL18" s="667">
        <v>1791429.8400000008</v>
      </c>
      <c r="AM18" s="667">
        <v>1641805.0300000005</v>
      </c>
      <c r="AN18" s="667">
        <v>1462894.6100000006</v>
      </c>
      <c r="AO18" s="667">
        <v>1266825.1000000003</v>
      </c>
      <c r="AP18" s="667">
        <v>1153427.2500000002</v>
      </c>
      <c r="AQ18" s="667">
        <v>940716.03000000014</v>
      </c>
    </row>
    <row r="19" spans="1:43" s="665" customFormat="1">
      <c r="A19" s="236">
        <v>9</v>
      </c>
      <c r="B19" s="667" t="s">
        <v>1103</v>
      </c>
      <c r="C19" s="667">
        <v>-4170866.5599999996</v>
      </c>
      <c r="D19" s="667">
        <v>696336.68000000028</v>
      </c>
      <c r="E19" s="667">
        <v>1064031.5700000012</v>
      </c>
      <c r="F19" s="667">
        <v>1315749.4200000002</v>
      </c>
      <c r="G19" s="667">
        <v>1446818.5100000019</v>
      </c>
      <c r="H19" s="667">
        <v>1723393.6699999997</v>
      </c>
      <c r="I19" s="667">
        <v>2931484.2899999977</v>
      </c>
      <c r="J19" s="667">
        <v>2921610.8800000004</v>
      </c>
      <c r="K19" s="667">
        <v>2909107.1300000004</v>
      </c>
      <c r="L19" s="667">
        <v>2890238.0100000007</v>
      </c>
      <c r="M19" s="667">
        <v>2947254.8500000006</v>
      </c>
      <c r="N19" s="667">
        <v>3108949.3300000005</v>
      </c>
      <c r="O19" s="667">
        <v>2871008.4800000004</v>
      </c>
      <c r="P19" s="667">
        <v>2842326.5399999996</v>
      </c>
      <c r="Q19" s="667">
        <v>2885336.3000000003</v>
      </c>
      <c r="R19" s="667">
        <v>2872209.7899999991</v>
      </c>
      <c r="S19" s="667">
        <v>2970063.4200000004</v>
      </c>
      <c r="T19" s="667">
        <v>3065229.8899999978</v>
      </c>
      <c r="U19" s="667">
        <v>3107005.9599999972</v>
      </c>
      <c r="V19" s="667">
        <v>3139725.0399999968</v>
      </c>
      <c r="W19" s="667">
        <v>3251185.1099999985</v>
      </c>
      <c r="X19" s="667">
        <v>3240844.93</v>
      </c>
      <c r="Y19" s="667">
        <v>4127831.4300000006</v>
      </c>
      <c r="Z19" s="667">
        <v>4058779.3600000022</v>
      </c>
      <c r="AA19" s="667">
        <v>3883131.370000001</v>
      </c>
      <c r="AB19" s="667">
        <v>3753176.16</v>
      </c>
      <c r="AC19" s="667">
        <v>3478669.1500000004</v>
      </c>
      <c r="AD19" s="667">
        <v>3308926.49</v>
      </c>
      <c r="AE19" s="667">
        <v>2737137.5199999986</v>
      </c>
      <c r="AF19" s="667">
        <v>2562014.0299999998</v>
      </c>
      <c r="AG19" s="667">
        <v>2199113.2800000012</v>
      </c>
      <c r="AH19" s="667">
        <v>2113093.2600000012</v>
      </c>
      <c r="AI19" s="667">
        <v>2052283.7200000009</v>
      </c>
      <c r="AJ19" s="667">
        <v>1923686.3800000011</v>
      </c>
      <c r="AK19" s="667">
        <v>1855012.5200000009</v>
      </c>
      <c r="AL19" s="667">
        <v>1791429.8400000008</v>
      </c>
      <c r="AM19" s="667">
        <v>1641805.0300000005</v>
      </c>
      <c r="AN19" s="667">
        <v>1462894.6100000006</v>
      </c>
      <c r="AO19" s="667">
        <v>1266825.1000000003</v>
      </c>
      <c r="AP19" s="667">
        <v>1153427.2500000002</v>
      </c>
      <c r="AQ19" s="667">
        <v>940716.03000000014</v>
      </c>
    </row>
    <row r="20" spans="1:43" s="665" customFormat="1">
      <c r="A20" s="236">
        <v>10</v>
      </c>
      <c r="B20" s="667" t="s">
        <v>1095</v>
      </c>
      <c r="C20" s="667">
        <v>-6296916.3399999961</v>
      </c>
      <c r="D20" s="667">
        <v>1399356.7300000007</v>
      </c>
      <c r="E20" s="667">
        <v>1986195.5300000003</v>
      </c>
      <c r="F20" s="667">
        <v>2382623.2500000037</v>
      </c>
      <c r="G20" s="667">
        <v>2564919.8600000022</v>
      </c>
      <c r="H20" s="667">
        <v>2968689.7100000014</v>
      </c>
      <c r="I20" s="667">
        <v>4797174.7800000012</v>
      </c>
      <c r="J20" s="667">
        <v>4775223.8600000041</v>
      </c>
      <c r="K20" s="667">
        <v>4752997.0200000023</v>
      </c>
      <c r="L20" s="667">
        <v>4711086.7799999975</v>
      </c>
      <c r="M20" s="667">
        <v>4782674.549999997</v>
      </c>
      <c r="N20" s="667">
        <v>5011617.9199999971</v>
      </c>
      <c r="O20" s="667">
        <v>4617237.4699999988</v>
      </c>
      <c r="P20" s="667">
        <v>4571367.2399999956</v>
      </c>
      <c r="Q20" s="667">
        <v>4642840.4199999981</v>
      </c>
      <c r="R20" s="667">
        <v>4622034.7999999961</v>
      </c>
      <c r="S20" s="667">
        <v>4784908.7300000004</v>
      </c>
      <c r="T20" s="667">
        <v>4943144.450000002</v>
      </c>
      <c r="U20" s="667">
        <v>5007552.8300000019</v>
      </c>
      <c r="V20" s="667">
        <v>5056531.1400000006</v>
      </c>
      <c r="W20" s="667">
        <v>5228765.9300000006</v>
      </c>
      <c r="X20" s="667">
        <v>5205692.93</v>
      </c>
      <c r="Y20" s="667">
        <v>6633843.1099999985</v>
      </c>
      <c r="Z20" s="667">
        <v>6521274.6100000013</v>
      </c>
      <c r="AA20" s="667">
        <v>6234443.5000000009</v>
      </c>
      <c r="AB20" s="667">
        <v>6020563.0099999998</v>
      </c>
      <c r="AC20" s="667">
        <v>5565903.5299999984</v>
      </c>
      <c r="AD20" s="667">
        <v>5284152.799999997</v>
      </c>
      <c r="AE20" s="667">
        <v>4392660.589999998</v>
      </c>
      <c r="AF20" s="667">
        <v>4115874.6099999989</v>
      </c>
      <c r="AG20" s="667">
        <v>3559764.0200000005</v>
      </c>
      <c r="AH20" s="667">
        <v>3421496.0200000005</v>
      </c>
      <c r="AI20" s="667">
        <v>3321806.1900000009</v>
      </c>
      <c r="AJ20" s="667">
        <v>3114589.310000001</v>
      </c>
      <c r="AK20" s="667">
        <v>3002580.95</v>
      </c>
      <c r="AL20" s="667">
        <v>2900194.4499999997</v>
      </c>
      <c r="AM20" s="667">
        <v>2657657.6699999995</v>
      </c>
      <c r="AN20" s="667">
        <v>2381108.5500000003</v>
      </c>
      <c r="AO20" s="667">
        <v>2071185.75</v>
      </c>
      <c r="AP20" s="667">
        <v>1890837.93</v>
      </c>
      <c r="AQ20" s="667">
        <v>1539107.8500000003</v>
      </c>
    </row>
    <row r="21" spans="1:43" s="665" customFormat="1">
      <c r="A21" s="236">
        <v>11</v>
      </c>
      <c r="B21" s="667" t="s">
        <v>1096</v>
      </c>
      <c r="C21" s="667">
        <v>0</v>
      </c>
      <c r="D21" s="667">
        <v>-1545639.3600000008</v>
      </c>
      <c r="E21" s="667">
        <v>-1593167.51</v>
      </c>
      <c r="F21" s="667">
        <v>-1649856.5999999996</v>
      </c>
      <c r="G21" s="667">
        <v>-1636893.7400000002</v>
      </c>
      <c r="H21" s="667">
        <v>-1654694.2000000014</v>
      </c>
      <c r="I21" s="667">
        <v>-1967068.6399999994</v>
      </c>
      <c r="J21" s="667">
        <v>-1946505.3899999992</v>
      </c>
      <c r="K21" s="667">
        <v>-1932909.1199999989</v>
      </c>
      <c r="L21" s="667">
        <v>-1899214.4000000006</v>
      </c>
      <c r="M21" s="667">
        <v>-1873103.66</v>
      </c>
      <c r="N21" s="667">
        <v>-1919282.0199999989</v>
      </c>
      <c r="O21" s="667">
        <v>-1763574.2399999995</v>
      </c>
      <c r="P21" s="667">
        <v>-1745506.3199999984</v>
      </c>
      <c r="Q21" s="667">
        <v>-1778468.92</v>
      </c>
      <c r="R21" s="667">
        <v>-1775789.4899999993</v>
      </c>
      <c r="S21" s="667">
        <v>-1840727.6699999995</v>
      </c>
      <c r="T21" s="667">
        <v>-1903795.8599999996</v>
      </c>
      <c r="U21" s="667">
        <v>-1922935.9099999997</v>
      </c>
      <c r="V21" s="667">
        <v>-1932749.3199999998</v>
      </c>
      <c r="W21" s="667">
        <v>-1980799.4100000001</v>
      </c>
      <c r="X21" s="667">
        <v>-1968097.0899999996</v>
      </c>
      <c r="Y21" s="667">
        <v>-2506011.8000000021</v>
      </c>
      <c r="Z21" s="667">
        <v>-2462495.3900000025</v>
      </c>
      <c r="AA21" s="667">
        <v>-2351312.2500000005</v>
      </c>
      <c r="AB21" s="667">
        <v>-2267387.0300000012</v>
      </c>
      <c r="AC21" s="667">
        <v>-2087234.5000000007</v>
      </c>
      <c r="AD21" s="667">
        <v>-1975226.4100000008</v>
      </c>
      <c r="AE21" s="667">
        <v>-1655523.1500000006</v>
      </c>
      <c r="AF21" s="667">
        <v>-1553860.7000000009</v>
      </c>
      <c r="AG21" s="667">
        <v>-1360650.8400000003</v>
      </c>
      <c r="AH21" s="667">
        <v>-1308402.8000000007</v>
      </c>
      <c r="AI21" s="667">
        <v>-1269522.5500000007</v>
      </c>
      <c r="AJ21" s="667">
        <v>-1190903.02</v>
      </c>
      <c r="AK21" s="667">
        <v>-1147568.49</v>
      </c>
      <c r="AL21" s="667">
        <v>-1108764.6899999995</v>
      </c>
      <c r="AM21" s="667">
        <v>-1015852.71</v>
      </c>
      <c r="AN21" s="667">
        <v>-918213.94999999984</v>
      </c>
      <c r="AO21" s="667">
        <v>-804360.66999999981</v>
      </c>
      <c r="AP21" s="667">
        <v>-737410.68</v>
      </c>
      <c r="AQ21" s="667">
        <v>-598391.82999999996</v>
      </c>
    </row>
    <row r="22" spans="1:43" s="665" customFormat="1">
      <c r="A22" s="236">
        <v>12</v>
      </c>
      <c r="B22" s="667" t="s">
        <v>1097</v>
      </c>
      <c r="C22" s="667"/>
      <c r="D22" s="667">
        <v>110612.14102400003</v>
      </c>
      <c r="E22" s="667">
        <v>110612.14102400003</v>
      </c>
      <c r="F22" s="667">
        <v>110612.14102400003</v>
      </c>
      <c r="G22" s="667">
        <v>110612.14102400003</v>
      </c>
      <c r="H22" s="667">
        <v>110612.14102400003</v>
      </c>
      <c r="I22" s="667">
        <v>110612.14102400003</v>
      </c>
      <c r="J22" s="667">
        <v>110612.14102400003</v>
      </c>
      <c r="K22" s="667">
        <v>110612.14102400003</v>
      </c>
      <c r="L22" s="667">
        <v>110612.14102400003</v>
      </c>
      <c r="M22" s="667">
        <v>110612.14102400003</v>
      </c>
      <c r="N22" s="667">
        <v>110612.14102400003</v>
      </c>
      <c r="O22" s="667">
        <v>110612.14102400003</v>
      </c>
      <c r="P22" s="667">
        <v>110612.14102400003</v>
      </c>
      <c r="Q22" s="667">
        <v>110612.14102400003</v>
      </c>
      <c r="R22" s="667">
        <v>110612.14102400003</v>
      </c>
      <c r="S22" s="667">
        <v>110612.14102400003</v>
      </c>
      <c r="T22" s="667">
        <v>110612.14102400003</v>
      </c>
      <c r="U22" s="667">
        <v>110612.14102400003</v>
      </c>
      <c r="V22" s="667">
        <v>110612.14102400003</v>
      </c>
      <c r="W22" s="667">
        <v>110612.14102400003</v>
      </c>
      <c r="X22" s="667">
        <v>110612.14102400003</v>
      </c>
      <c r="Y22" s="667">
        <v>110612.14102400003</v>
      </c>
      <c r="Z22" s="667">
        <v>110612.14102400003</v>
      </c>
      <c r="AA22" s="667">
        <v>110612.14102400003</v>
      </c>
      <c r="AB22" s="667">
        <v>110612.14102400003</v>
      </c>
      <c r="AC22" s="667"/>
      <c r="AD22" s="667"/>
      <c r="AE22" s="667"/>
      <c r="AF22" s="667"/>
      <c r="AG22" s="667"/>
      <c r="AH22" s="667"/>
      <c r="AI22" s="667"/>
      <c r="AJ22" s="667"/>
      <c r="AK22" s="667"/>
      <c r="AL22" s="667"/>
      <c r="AM22" s="667"/>
      <c r="AN22" s="667"/>
      <c r="AO22" s="667"/>
      <c r="AP22" s="667"/>
      <c r="AQ22" s="667"/>
    </row>
    <row r="23" spans="1:43" s="665" customFormat="1" ht="15" customHeight="1">
      <c r="A23" s="236">
        <v>13</v>
      </c>
      <c r="B23" s="667" t="s">
        <v>1098</v>
      </c>
      <c r="C23" s="667"/>
      <c r="D23" s="667">
        <v>-1435027.2189760008</v>
      </c>
      <c r="E23" s="667">
        <v>-1482555.368976</v>
      </c>
      <c r="F23" s="667">
        <v>-1539244.4589759996</v>
      </c>
      <c r="G23" s="667">
        <v>-1526281.5989760002</v>
      </c>
      <c r="H23" s="667">
        <v>-1544082.0589760013</v>
      </c>
      <c r="I23" s="667">
        <v>-1856456.4989759994</v>
      </c>
      <c r="J23" s="667">
        <v>-1835893.2489759992</v>
      </c>
      <c r="K23" s="667">
        <v>-1822296.9789759989</v>
      </c>
      <c r="L23" s="667">
        <v>-1788602.2589760006</v>
      </c>
      <c r="M23" s="667">
        <v>-1762491.5189759999</v>
      </c>
      <c r="N23" s="667">
        <v>-1808669.8789759988</v>
      </c>
      <c r="O23" s="667">
        <v>-1652962.0989759995</v>
      </c>
      <c r="P23" s="667">
        <v>-1634894.1789759984</v>
      </c>
      <c r="Q23" s="667">
        <v>-1667856.7789759999</v>
      </c>
      <c r="R23" s="667">
        <v>-1665177.3489759993</v>
      </c>
      <c r="S23" s="667">
        <v>-1730115.5289759994</v>
      </c>
      <c r="T23" s="667">
        <v>-1793183.7189759996</v>
      </c>
      <c r="U23" s="667">
        <v>-1812323.7689759997</v>
      </c>
      <c r="V23" s="667">
        <v>-1822137.1789759998</v>
      </c>
      <c r="W23" s="667">
        <v>-1870187.2689760001</v>
      </c>
      <c r="X23" s="667">
        <v>-1857484.9489759996</v>
      </c>
      <c r="Y23" s="667">
        <v>-2395399.6589760021</v>
      </c>
      <c r="Z23" s="667">
        <v>-2351883.2489760024</v>
      </c>
      <c r="AA23" s="667">
        <v>-2240700.1089760005</v>
      </c>
      <c r="AB23" s="667">
        <v>-2156774.8889760012</v>
      </c>
      <c r="AC23" s="667">
        <v>-2087234.5000000007</v>
      </c>
      <c r="AD23" s="667">
        <v>-1975226.4100000008</v>
      </c>
      <c r="AE23" s="667">
        <v>-1655523.1500000006</v>
      </c>
      <c r="AF23" s="667">
        <v>-1553860.7000000009</v>
      </c>
      <c r="AG23" s="667">
        <v>-1360650.8400000003</v>
      </c>
      <c r="AH23" s="667">
        <v>-1308402.8000000007</v>
      </c>
      <c r="AI23" s="667">
        <v>-1269522.5500000007</v>
      </c>
      <c r="AJ23" s="667">
        <v>-1190903.02</v>
      </c>
      <c r="AK23" s="667">
        <v>-1147568.49</v>
      </c>
      <c r="AL23" s="667">
        <v>-1108764.6899999995</v>
      </c>
      <c r="AM23" s="667">
        <v>-1015852.71</v>
      </c>
      <c r="AN23" s="667">
        <v>-918213.94999999984</v>
      </c>
      <c r="AO23" s="667">
        <v>-804360.66999999981</v>
      </c>
      <c r="AP23" s="667">
        <v>-737410.68</v>
      </c>
      <c r="AQ23" s="667">
        <v>-598391.82999999996</v>
      </c>
    </row>
    <row r="24" spans="1:43" s="665" customFormat="1">
      <c r="A24" s="236">
        <v>14</v>
      </c>
      <c r="B24" s="667" t="s">
        <v>1099</v>
      </c>
      <c r="C24" s="667">
        <v>-66419054.449999951</v>
      </c>
      <c r="D24" s="667">
        <v>-64858977.540000021</v>
      </c>
      <c r="E24" s="667">
        <v>-63272136.169999987</v>
      </c>
      <c r="F24" s="667">
        <v>-61640933.620000005</v>
      </c>
      <c r="G24" s="667">
        <v>-60026470.499999993</v>
      </c>
      <c r="H24" s="667">
        <v>-58403031.480000004</v>
      </c>
      <c r="I24" s="667">
        <v>-56468184.12999998</v>
      </c>
      <c r="J24" s="667">
        <v>-54553871.400000095</v>
      </c>
      <c r="K24" s="667">
        <v>-52652982.480000041</v>
      </c>
      <c r="L24" s="667">
        <v>-50785877.170000054</v>
      </c>
      <c r="M24" s="667">
        <v>-48960472.470000021</v>
      </c>
      <c r="N24" s="667">
        <v>-47091526.900000043</v>
      </c>
      <c r="O24" s="667">
        <v>-45378335.5</v>
      </c>
      <c r="P24" s="667">
        <v>-43683374.780000016</v>
      </c>
      <c r="Q24" s="667">
        <v>-41955619.970000021</v>
      </c>
      <c r="R24" s="667">
        <v>-40230492.920000002</v>
      </c>
      <c r="S24" s="667">
        <v>-38441015.360000022</v>
      </c>
      <c r="T24" s="667">
        <v>-36588535.340000004</v>
      </c>
      <c r="U24" s="667">
        <v>-34716736.73999998</v>
      </c>
      <c r="V24" s="667">
        <v>-32840018.390000008</v>
      </c>
      <c r="W24" s="667">
        <v>-30923511.099999998</v>
      </c>
      <c r="X24" s="667">
        <v>-29030766.569999989</v>
      </c>
      <c r="Y24" s="667">
        <v>-26556639.910000026</v>
      </c>
      <c r="Z24" s="667">
        <v>-24271212.78999998</v>
      </c>
      <c r="AA24" s="667">
        <v>-22164388.069999978</v>
      </c>
      <c r="AB24" s="667">
        <v>-20152716.039999999</v>
      </c>
      <c r="AC24" s="667">
        <v>-18342926.999999996</v>
      </c>
      <c r="AD24" s="667">
        <v>-16631336.809999999</v>
      </c>
      <c r="AE24" s="667">
        <v>-15243484.519999988</v>
      </c>
      <c r="AF24" s="667">
        <v>-13963807.919999992</v>
      </c>
      <c r="AG24" s="667">
        <v>-12818025.130000005</v>
      </c>
      <c r="AH24" s="667">
        <v>-11743629.499999996</v>
      </c>
      <c r="AI24" s="667">
        <v>-10737474.200000001</v>
      </c>
      <c r="AJ24" s="667">
        <v>-9891022.1199999992</v>
      </c>
      <c r="AK24" s="667">
        <v>-9104921.0100000035</v>
      </c>
      <c r="AL24" s="667">
        <v>-8289135.3800000036</v>
      </c>
      <c r="AM24" s="667">
        <v>-7599642.3799999999</v>
      </c>
      <c r="AN24" s="667">
        <v>-7061736.2799999965</v>
      </c>
      <c r="AO24" s="667">
        <v>-6474740.2799999993</v>
      </c>
      <c r="AP24" s="667">
        <v>-6208149.3600000022</v>
      </c>
      <c r="AQ24" s="667">
        <v>-6047484.3999999994</v>
      </c>
    </row>
    <row r="25" spans="1:43" s="665" customFormat="1">
      <c r="A25" s="236">
        <v>15</v>
      </c>
      <c r="B25" s="667" t="s">
        <v>1097</v>
      </c>
      <c r="C25" s="667">
        <v>2765303.5256000008</v>
      </c>
      <c r="D25" s="667">
        <v>2654691.3845760007</v>
      </c>
      <c r="E25" s="667">
        <v>2544079.2435520007</v>
      </c>
      <c r="F25" s="667">
        <v>2433467.1025280007</v>
      </c>
      <c r="G25" s="667">
        <v>2322854.9615040007</v>
      </c>
      <c r="H25" s="667">
        <v>2212242.8204800007</v>
      </c>
      <c r="I25" s="667">
        <v>2101630.6794560007</v>
      </c>
      <c r="J25" s="667">
        <v>1991018.5384320007</v>
      </c>
      <c r="K25" s="667">
        <v>1880406.3974080007</v>
      </c>
      <c r="L25" s="667">
        <v>1769794.2563840006</v>
      </c>
      <c r="M25" s="667">
        <v>1659182.1153600006</v>
      </c>
      <c r="N25" s="667">
        <v>1548569.9743360006</v>
      </c>
      <c r="O25" s="667">
        <v>1437957.8333120006</v>
      </c>
      <c r="P25" s="667">
        <v>1327345.6922880006</v>
      </c>
      <c r="Q25" s="667">
        <v>1216733.5512640006</v>
      </c>
      <c r="R25" s="667">
        <v>1106121.4102400006</v>
      </c>
      <c r="S25" s="667">
        <v>995509.26921600057</v>
      </c>
      <c r="T25" s="667">
        <v>884897.12819200056</v>
      </c>
      <c r="U25" s="667">
        <v>774284.98716800055</v>
      </c>
      <c r="V25" s="667">
        <v>663672.84614400053</v>
      </c>
      <c r="W25" s="667">
        <v>553060.70512000052</v>
      </c>
      <c r="X25" s="667">
        <v>442448.56409600051</v>
      </c>
      <c r="Y25" s="667">
        <v>331836.4230720005</v>
      </c>
      <c r="Z25" s="667">
        <v>221224.28204800049</v>
      </c>
      <c r="AA25" s="667">
        <v>110612.14102400046</v>
      </c>
      <c r="AB25" s="667">
        <v>4.3655745685100602E-10</v>
      </c>
      <c r="AC25" s="667">
        <v>4.3655745685100602E-10</v>
      </c>
      <c r="AD25" s="667">
        <v>4.3655745685100602E-10</v>
      </c>
      <c r="AE25" s="667">
        <v>4.3655745685100602E-10</v>
      </c>
      <c r="AF25" s="667">
        <v>4.3655745685100602E-10</v>
      </c>
      <c r="AG25" s="667">
        <v>4.3655745685100602E-10</v>
      </c>
      <c r="AH25" s="667">
        <v>4.3655745685100602E-10</v>
      </c>
      <c r="AI25" s="667">
        <v>4.3655745685100602E-10</v>
      </c>
      <c r="AJ25" s="667">
        <v>4.3655745685100602E-10</v>
      </c>
      <c r="AK25" s="667">
        <v>4.3655745685100602E-10</v>
      </c>
      <c r="AL25" s="667">
        <v>4.3655745685100602E-10</v>
      </c>
      <c r="AM25" s="667">
        <v>4.3655745685100602E-10</v>
      </c>
      <c r="AN25" s="667">
        <v>4.3655745685100602E-10</v>
      </c>
      <c r="AO25" s="667">
        <v>4.3655745685100602E-10</v>
      </c>
      <c r="AP25" s="667">
        <v>4.3655745685100602E-10</v>
      </c>
      <c r="AQ25" s="667">
        <v>4.3655745685100602E-10</v>
      </c>
    </row>
    <row r="26" spans="1:43" s="665" customFormat="1">
      <c r="A26" s="236">
        <v>16</v>
      </c>
      <c r="B26" s="669" t="s">
        <v>1100</v>
      </c>
      <c r="C26" s="669">
        <v>-63653750.92439995</v>
      </c>
      <c r="D26" s="667">
        <v>-62204286.155424021</v>
      </c>
      <c r="E26" s="667">
        <v>-60728056.926447988</v>
      </c>
      <c r="F26" s="667">
        <v>-59207466.517472006</v>
      </c>
      <c r="G26" s="667">
        <v>-57703615.538495995</v>
      </c>
      <c r="H26" s="667">
        <v>-56190788.65952</v>
      </c>
      <c r="I26" s="667">
        <v>-54366553.450543977</v>
      </c>
      <c r="J26" s="667">
        <v>-52562852.861568093</v>
      </c>
      <c r="K26" s="667">
        <v>-50772576.08259204</v>
      </c>
      <c r="L26" s="667">
        <v>-49016082.913616054</v>
      </c>
      <c r="M26" s="667">
        <v>-47301290.354640022</v>
      </c>
      <c r="N26" s="667">
        <v>-45542956.925664045</v>
      </c>
      <c r="O26" s="667">
        <v>-43940377.666688003</v>
      </c>
      <c r="P26" s="667">
        <v>-42356029.087712012</v>
      </c>
      <c r="Q26" s="667">
        <v>-40738886.418736018</v>
      </c>
      <c r="R26" s="667">
        <v>-39124371.50976</v>
      </c>
      <c r="S26" s="667">
        <v>-37445506.090784021</v>
      </c>
      <c r="T26" s="667">
        <v>-35703638.211808003</v>
      </c>
      <c r="U26" s="667">
        <v>-33942451.752831981</v>
      </c>
      <c r="V26" s="667">
        <v>-32176345.543856006</v>
      </c>
      <c r="W26" s="667">
        <v>-30370450.394879997</v>
      </c>
      <c r="X26" s="667">
        <v>-28588318.005903989</v>
      </c>
      <c r="Y26" s="667">
        <v>-26224803.486928027</v>
      </c>
      <c r="Z26" s="667">
        <v>-24049988.507951979</v>
      </c>
      <c r="AA26" s="667">
        <v>-22053775.928975977</v>
      </c>
      <c r="AB26" s="667">
        <v>-20152716.039999999</v>
      </c>
      <c r="AC26" s="667">
        <v>-18342926.999999996</v>
      </c>
      <c r="AD26" s="667">
        <v>-16631336.809999999</v>
      </c>
      <c r="AE26" s="667">
        <v>-15243484.519999988</v>
      </c>
      <c r="AF26" s="667">
        <v>-13963807.919999992</v>
      </c>
      <c r="AG26" s="667">
        <v>-12818025.130000005</v>
      </c>
      <c r="AH26" s="667">
        <v>-11743629.499999996</v>
      </c>
      <c r="AI26" s="667">
        <v>-10737474.200000001</v>
      </c>
      <c r="AJ26" s="667">
        <v>-9891022.1199999992</v>
      </c>
      <c r="AK26" s="667">
        <v>-9104921.0100000035</v>
      </c>
      <c r="AL26" s="667">
        <v>-8289135.3800000036</v>
      </c>
      <c r="AM26" s="667">
        <v>-7599642.3799999999</v>
      </c>
      <c r="AN26" s="667">
        <v>-7061736.2799999965</v>
      </c>
      <c r="AO26" s="667">
        <v>-6474740.2799999993</v>
      </c>
      <c r="AP26" s="667">
        <v>-6208149.3600000022</v>
      </c>
      <c r="AQ26" s="667">
        <v>-6047484.3999999994</v>
      </c>
    </row>
    <row r="27" spans="1:43" s="665" customFormat="1">
      <c r="A27" s="236">
        <v>17</v>
      </c>
      <c r="B27" s="667" t="s">
        <v>1101</v>
      </c>
      <c r="C27" s="668">
        <v>1.183432</v>
      </c>
      <c r="D27" s="668">
        <v>1.183432</v>
      </c>
      <c r="E27" s="668">
        <v>1.183432</v>
      </c>
      <c r="F27" s="668">
        <v>1.183432</v>
      </c>
      <c r="G27" s="668">
        <v>1.183432</v>
      </c>
      <c r="H27" s="668">
        <v>1.183432</v>
      </c>
      <c r="I27" s="668">
        <v>1.183432</v>
      </c>
      <c r="J27" s="668">
        <v>1.183432</v>
      </c>
      <c r="K27" s="668">
        <v>1.183432</v>
      </c>
      <c r="L27" s="668">
        <v>1.183432</v>
      </c>
      <c r="M27" s="668">
        <v>1.183432</v>
      </c>
      <c r="N27" s="668">
        <v>1.183432</v>
      </c>
      <c r="O27" s="668">
        <v>1.183432</v>
      </c>
      <c r="P27" s="668">
        <v>1.183432</v>
      </c>
      <c r="Q27" s="668">
        <v>1.183432</v>
      </c>
      <c r="R27" s="668">
        <v>1.183432</v>
      </c>
      <c r="S27" s="668">
        <v>1.183432</v>
      </c>
      <c r="T27" s="668">
        <v>1.183432</v>
      </c>
      <c r="U27" s="668">
        <v>1.183432</v>
      </c>
      <c r="V27" s="668">
        <v>1.183432</v>
      </c>
      <c r="W27" s="668">
        <v>1.183432</v>
      </c>
      <c r="X27" s="668">
        <v>1.183432</v>
      </c>
      <c r="Y27" s="668">
        <v>1.183432</v>
      </c>
      <c r="Z27" s="668">
        <v>1.183432</v>
      </c>
      <c r="AA27" s="668">
        <v>1.183432</v>
      </c>
      <c r="AB27" s="668">
        <v>1.183432</v>
      </c>
      <c r="AC27" s="668">
        <v>1.183432</v>
      </c>
      <c r="AD27" s="668">
        <v>1.183432</v>
      </c>
      <c r="AE27" s="668">
        <v>1.183432</v>
      </c>
      <c r="AF27" s="668">
        <v>1.183432</v>
      </c>
      <c r="AG27" s="668">
        <v>1.183432</v>
      </c>
      <c r="AH27" s="668">
        <v>1.183432</v>
      </c>
      <c r="AI27" s="668">
        <v>1.183432</v>
      </c>
      <c r="AJ27" s="668">
        <v>1.183432</v>
      </c>
      <c r="AK27" s="668">
        <v>1.183432</v>
      </c>
      <c r="AL27" s="668">
        <v>1.183432</v>
      </c>
      <c r="AM27" s="668">
        <v>1.183432</v>
      </c>
      <c r="AN27" s="668">
        <v>1.183432</v>
      </c>
      <c r="AO27" s="668">
        <v>1.183432</v>
      </c>
      <c r="AP27" s="668">
        <v>1.183432</v>
      </c>
      <c r="AQ27" s="668">
        <v>1.183432</v>
      </c>
    </row>
    <row r="28" spans="1:43" s="665" customFormat="1">
      <c r="A28" s="236">
        <v>18</v>
      </c>
      <c r="B28" s="667" t="s">
        <v>1102</v>
      </c>
      <c r="C28" s="667">
        <v>-75329885.763964489</v>
      </c>
      <c r="D28" s="667">
        <v>-73614542.773485765</v>
      </c>
      <c r="E28" s="667">
        <v>-71867525.864580199</v>
      </c>
      <c r="F28" s="667">
        <v>-70068010.51570493</v>
      </c>
      <c r="G28" s="667">
        <v>-68288305.143953398</v>
      </c>
      <c r="H28" s="667">
        <v>-66497977.404913075</v>
      </c>
      <c r="I28" s="667">
        <v>-64339119.083084159</v>
      </c>
      <c r="J28" s="667">
        <v>-62204562.087671258</v>
      </c>
      <c r="K28" s="667">
        <v>-60085891.258574069</v>
      </c>
      <c r="L28" s="667">
        <v>-58007201.034626476</v>
      </c>
      <c r="M28" s="667">
        <v>-55977860.646972351</v>
      </c>
      <c r="N28" s="667">
        <v>-53896992.600452453</v>
      </c>
      <c r="O28" s="667">
        <v>-52000449.02284392</v>
      </c>
      <c r="P28" s="667">
        <v>-50125480.2153292</v>
      </c>
      <c r="Q28" s="667">
        <v>-48211701.832297608</v>
      </c>
      <c r="R28" s="667">
        <v>-46301033.224538296</v>
      </c>
      <c r="S28" s="667">
        <v>-44314210.164028719</v>
      </c>
      <c r="T28" s="667">
        <v>-42252827.976276368</v>
      </c>
      <c r="U28" s="667">
        <v>-40168583.562757455</v>
      </c>
      <c r="V28" s="667">
        <v>-38078516.959656604</v>
      </c>
      <c r="W28" s="667">
        <v>-35941362.851713628</v>
      </c>
      <c r="X28" s="667">
        <v>-33832330.354362972</v>
      </c>
      <c r="Y28" s="667">
        <v>-31035271.64014221</v>
      </c>
      <c r="Z28" s="667">
        <v>-28461525.999942627</v>
      </c>
      <c r="AA28" s="667">
        <v>-26099144.155179899</v>
      </c>
      <c r="AB28" s="667">
        <v>-23849369.048649281</v>
      </c>
      <c r="AC28" s="667">
        <v>-21707606.785463996</v>
      </c>
      <c r="AD28" s="667">
        <v>-19682056.183731917</v>
      </c>
      <c r="AE28" s="667">
        <v>-18039627.372472625</v>
      </c>
      <c r="AF28" s="667">
        <v>-16525217.134381432</v>
      </c>
      <c r="AG28" s="667">
        <v>-15169261.115646167</v>
      </c>
      <c r="AH28" s="667">
        <v>-13897786.946443995</v>
      </c>
      <c r="AI28" s="667">
        <v>-12707070.567454401</v>
      </c>
      <c r="AJ28" s="667">
        <v>-11705352.089515839</v>
      </c>
      <c r="AK28" s="667">
        <v>-10775054.880706325</v>
      </c>
      <c r="AL28" s="667">
        <v>-9809628.0610241648</v>
      </c>
      <c r="AM28" s="667">
        <v>-8993659.9810481593</v>
      </c>
      <c r="AN28" s="667">
        <v>-8357084.6893129563</v>
      </c>
      <c r="AO28" s="667">
        <v>-7662414.8390409593</v>
      </c>
      <c r="AP28" s="667">
        <v>-7346922.6134035224</v>
      </c>
      <c r="AQ28" s="667">
        <v>-7156786.5584608</v>
      </c>
    </row>
    <row r="29" spans="1:43" s="665" customFormat="1">
      <c r="A29" s="236">
        <v>19</v>
      </c>
      <c r="B29" s="667" t="s">
        <v>1084</v>
      </c>
      <c r="C29" s="667"/>
      <c r="D29" s="667">
        <v>25</v>
      </c>
      <c r="E29" s="667">
        <v>25</v>
      </c>
      <c r="F29" s="667">
        <v>25</v>
      </c>
      <c r="G29" s="667">
        <v>25</v>
      </c>
      <c r="H29" s="667">
        <v>25</v>
      </c>
      <c r="I29" s="667">
        <v>25</v>
      </c>
      <c r="J29" s="667">
        <v>25</v>
      </c>
      <c r="K29" s="667">
        <v>25</v>
      </c>
      <c r="L29" s="667">
        <v>25</v>
      </c>
      <c r="M29" s="667">
        <v>25</v>
      </c>
      <c r="N29" s="667">
        <v>25</v>
      </c>
      <c r="O29" s="667">
        <v>25</v>
      </c>
      <c r="P29" s="667">
        <v>25</v>
      </c>
      <c r="Q29" s="667">
        <v>25</v>
      </c>
      <c r="R29" s="667">
        <v>25</v>
      </c>
      <c r="S29" s="667">
        <v>25</v>
      </c>
      <c r="T29" s="667">
        <v>25</v>
      </c>
      <c r="U29" s="667">
        <v>25</v>
      </c>
      <c r="V29" s="667">
        <v>25</v>
      </c>
      <c r="W29" s="667">
        <v>25</v>
      </c>
      <c r="X29" s="667">
        <v>25</v>
      </c>
      <c r="Y29" s="667">
        <v>25</v>
      </c>
      <c r="Z29" s="667">
        <v>25</v>
      </c>
      <c r="AA29" s="667">
        <v>25</v>
      </c>
      <c r="AB29" s="667">
        <v>25</v>
      </c>
      <c r="AC29" s="667">
        <v>25</v>
      </c>
      <c r="AD29" s="667">
        <v>25</v>
      </c>
      <c r="AE29" s="667">
        <v>25</v>
      </c>
      <c r="AF29" s="667">
        <v>25</v>
      </c>
      <c r="AG29" s="667">
        <v>25</v>
      </c>
      <c r="AH29" s="667">
        <v>25</v>
      </c>
      <c r="AI29" s="667">
        <v>25</v>
      </c>
      <c r="AJ29" s="667">
        <v>25</v>
      </c>
      <c r="AK29" s="667">
        <v>25</v>
      </c>
      <c r="AL29" s="667">
        <v>25</v>
      </c>
      <c r="AM29" s="667">
        <v>25</v>
      </c>
      <c r="AN29" s="667">
        <v>25</v>
      </c>
      <c r="AO29" s="667">
        <v>25</v>
      </c>
      <c r="AP29" s="667">
        <v>25</v>
      </c>
      <c r="AQ29" s="667">
        <v>25</v>
      </c>
    </row>
    <row r="30" spans="1:43" s="666" customFormat="1"/>
    <row r="31" spans="1:43" s="666" customFormat="1">
      <c r="A31" s="750" t="s">
        <v>1085</v>
      </c>
      <c r="B31" s="750"/>
    </row>
    <row r="32" spans="1:43">
      <c r="A32" s="666"/>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1"/>
    </row>
    <row r="33" spans="2:40">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1"/>
    </row>
    <row r="35" spans="2:40">
      <c r="B35" s="661"/>
      <c r="C35" s="661"/>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row>
    <row r="36" spans="2:40">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row>
    <row r="37" spans="2:40">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row>
    <row r="38" spans="2:40">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row>
    <row r="39" spans="2:40">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row>
    <row r="40" spans="2:40">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row>
  </sheetData>
  <pageMargins left="0.5" right="0.5" top="0.5" bottom="0.5" header="0" footer="0"/>
  <pageSetup paperSize="5" scale="95" fitToWidth="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98"/>
  <sheetViews>
    <sheetView view="pageBreakPreview" zoomScale="81" zoomScaleNormal="85" zoomScaleSheetLayoutView="81" workbookViewId="0"/>
  </sheetViews>
  <sheetFormatPr defaultColWidth="8.88671875" defaultRowHeight="14.25"/>
  <cols>
    <col min="1" max="1" width="4.21875" style="255" customWidth="1"/>
    <col min="2" max="2" width="44.33203125" style="255" customWidth="1"/>
    <col min="3" max="3" width="13.44140625" style="255" customWidth="1"/>
    <col min="4" max="4" width="10.5546875" style="255" customWidth="1"/>
    <col min="5" max="5" width="14.109375" style="255" customWidth="1"/>
    <col min="6" max="6" width="15" style="255" customWidth="1"/>
    <col min="7" max="7" width="10.5546875" style="255" customWidth="1"/>
    <col min="8" max="8" width="12.77734375" style="255" customWidth="1"/>
    <col min="9" max="9" width="3" style="256" customWidth="1"/>
    <col min="10" max="10" width="38.88671875" style="255" bestFit="1" customWidth="1"/>
    <col min="11" max="11" width="10.6640625" style="255" bestFit="1" customWidth="1"/>
    <col min="12" max="16384" width="8.88671875" style="255"/>
  </cols>
  <sheetData>
    <row r="1" spans="1:15" ht="15">
      <c r="A1" s="259" t="str">
        <f>'Exhibit 1a'!A1</f>
        <v>VERSANT POWER – MAINE PUBLIC DISTRICT OATT</v>
      </c>
      <c r="B1" s="39"/>
      <c r="D1" s="39"/>
      <c r="E1" s="39"/>
      <c r="F1" s="22"/>
      <c r="G1" s="39"/>
      <c r="H1" s="39"/>
      <c r="I1" s="76"/>
      <c r="J1" s="40" t="s">
        <v>48</v>
      </c>
      <c r="K1" s="39"/>
      <c r="N1" s="256"/>
    </row>
    <row r="2" spans="1:15" ht="15">
      <c r="A2" s="259" t="str">
        <f>'Exhibit 1a'!A2</f>
        <v>ATTACHMENT J FORMULA RATES</v>
      </c>
      <c r="B2" s="39"/>
      <c r="C2" s="39"/>
      <c r="D2" s="39"/>
      <c r="E2" s="39"/>
      <c r="F2" s="22"/>
      <c r="G2" s="39"/>
      <c r="H2" s="39"/>
      <c r="I2" s="76"/>
      <c r="J2" s="38" t="s">
        <v>71</v>
      </c>
      <c r="K2" s="39"/>
      <c r="L2" s="39"/>
      <c r="N2" s="256"/>
    </row>
    <row r="3" spans="1:15" ht="15">
      <c r="A3" s="259" t="str">
        <f>'Exhibit 1a'!A3</f>
        <v>RATE YEAR JUNE 1, 2020 TO MAY 31, 2021</v>
      </c>
      <c r="B3" s="21"/>
      <c r="E3" s="21"/>
      <c r="F3" s="22"/>
      <c r="G3" s="21"/>
      <c r="H3" s="37"/>
      <c r="I3" s="37"/>
      <c r="K3" s="37"/>
      <c r="L3" s="37"/>
      <c r="M3" s="21"/>
      <c r="N3" s="15"/>
      <c r="O3" s="21"/>
    </row>
    <row r="4" spans="1:15" s="256" customFormat="1" ht="15">
      <c r="A4" s="259" t="str">
        <f>'Exhibit 1a'!A4</f>
        <v>Actual ATRR &amp; CHARGES BASED ON ACTUAL CY 2020 VALUES</v>
      </c>
      <c r="B4" s="15"/>
      <c r="E4" s="15"/>
      <c r="F4" s="92"/>
      <c r="G4" s="15"/>
      <c r="H4" s="37"/>
      <c r="I4" s="37"/>
      <c r="K4" s="37"/>
      <c r="L4" s="37"/>
      <c r="M4" s="15"/>
      <c r="N4" s="15"/>
      <c r="O4" s="15"/>
    </row>
    <row r="5" spans="1:15" ht="15">
      <c r="A5" s="275"/>
      <c r="B5" s="21"/>
      <c r="C5" s="71"/>
      <c r="D5" s="21"/>
      <c r="E5" s="37"/>
      <c r="F5" s="37"/>
      <c r="G5" s="37"/>
      <c r="H5" s="21"/>
      <c r="I5" s="15"/>
      <c r="J5" s="21"/>
    </row>
    <row r="6" spans="1:15" ht="15">
      <c r="A6" s="34" t="s">
        <v>70</v>
      </c>
      <c r="B6" s="31"/>
      <c r="C6" s="75"/>
      <c r="E6" s="256"/>
      <c r="F6" s="142"/>
      <c r="H6" s="565" t="s">
        <v>66</v>
      </c>
      <c r="J6" s="32"/>
    </row>
    <row r="7" spans="1:15" ht="15">
      <c r="A7" s="32"/>
      <c r="B7" s="31"/>
      <c r="C7" s="75"/>
      <c r="H7" s="565"/>
      <c r="J7" s="27"/>
    </row>
    <row r="8" spans="1:15" ht="15">
      <c r="A8" s="26" t="s">
        <v>14</v>
      </c>
      <c r="B8" s="74" t="s">
        <v>31</v>
      </c>
      <c r="C8" s="73"/>
      <c r="D8" s="73"/>
      <c r="E8" s="73"/>
      <c r="F8" s="73"/>
      <c r="G8" s="72"/>
      <c r="H8" s="52" t="s">
        <v>12</v>
      </c>
      <c r="I8" s="72"/>
      <c r="J8" s="567" t="s">
        <v>25</v>
      </c>
    </row>
    <row r="9" spans="1:15">
      <c r="B9" s="20"/>
      <c r="C9" s="71"/>
      <c r="J9" s="15"/>
    </row>
    <row r="10" spans="1:15" ht="15">
      <c r="A10" s="21">
        <v>1</v>
      </c>
      <c r="B10" s="18" t="s">
        <v>334</v>
      </c>
      <c r="C10" s="71"/>
      <c r="F10" s="268"/>
      <c r="J10" s="258"/>
    </row>
    <row r="11" spans="1:15" ht="15">
      <c r="A11" s="21">
        <v>2</v>
      </c>
      <c r="B11" s="17" t="s">
        <v>69</v>
      </c>
      <c r="E11" s="269"/>
      <c r="F11" s="268"/>
      <c r="H11" s="778">
        <f>'Exhibit 2'!C43</f>
        <v>8695788.9618464895</v>
      </c>
      <c r="I11" s="69"/>
      <c r="J11" s="501" t="s">
        <v>687</v>
      </c>
      <c r="K11" s="557"/>
    </row>
    <row r="12" spans="1:15" ht="15">
      <c r="A12" s="21">
        <v>3</v>
      </c>
      <c r="B12" s="14" t="s">
        <v>644</v>
      </c>
      <c r="E12" s="268"/>
      <c r="F12" s="268"/>
      <c r="H12" s="787">
        <f>ROUND('Exhibit 8'!H26,4)</f>
        <v>0.86450000000000005</v>
      </c>
      <c r="I12" s="70"/>
      <c r="J12" s="258" t="s">
        <v>308</v>
      </c>
      <c r="K12" s="557"/>
    </row>
    <row r="13" spans="1:15" ht="15">
      <c r="A13" s="21">
        <v>4</v>
      </c>
      <c r="B13" s="385" t="s">
        <v>299</v>
      </c>
      <c r="C13" s="99"/>
      <c r="D13" s="99"/>
      <c r="E13" s="386"/>
      <c r="F13" s="386"/>
      <c r="G13" s="99"/>
      <c r="H13" s="788">
        <f>H11*H12</f>
        <v>7517509.5575162908</v>
      </c>
      <c r="I13" s="65"/>
      <c r="J13" s="258" t="s">
        <v>338</v>
      </c>
      <c r="K13" s="557"/>
    </row>
    <row r="14" spans="1:15" ht="15">
      <c r="A14" s="21">
        <v>5</v>
      </c>
      <c r="B14" s="14"/>
      <c r="E14" s="268"/>
      <c r="F14" s="268"/>
      <c r="H14" s="66"/>
      <c r="I14" s="66"/>
      <c r="J14" s="258"/>
      <c r="K14" s="557"/>
    </row>
    <row r="15" spans="1:15" ht="15">
      <c r="A15" s="21">
        <v>6</v>
      </c>
      <c r="B15" s="14" t="s">
        <v>67</v>
      </c>
      <c r="E15" s="268"/>
      <c r="F15" s="268"/>
      <c r="H15" s="778">
        <f>+'WP Customer Costs'!C18</f>
        <v>601930.69111183181</v>
      </c>
      <c r="I15" s="69"/>
      <c r="J15" s="258" t="s">
        <v>68</v>
      </c>
      <c r="K15" s="557"/>
    </row>
    <row r="16" spans="1:15" ht="15">
      <c r="A16" s="21">
        <v>7</v>
      </c>
      <c r="B16" s="14" t="s">
        <v>364</v>
      </c>
      <c r="E16" s="268"/>
      <c r="F16" s="268"/>
      <c r="H16" s="780">
        <f>+'Exhibit 10'!D13*'Exhibit 1b'!H12</f>
        <v>421882.27627000003</v>
      </c>
      <c r="I16" s="65"/>
      <c r="J16" s="258" t="s">
        <v>525</v>
      </c>
      <c r="K16" s="557"/>
    </row>
    <row r="17" spans="1:11" ht="15">
      <c r="A17" s="21">
        <v>8</v>
      </c>
      <c r="B17" s="256" t="s">
        <v>365</v>
      </c>
      <c r="E17" s="268"/>
      <c r="F17" s="268"/>
      <c r="H17" s="789">
        <f>-('Exhibit 10'!D12*'Exhibit 1b'!H12)</f>
        <v>77805</v>
      </c>
      <c r="I17" s="67"/>
      <c r="J17" s="258" t="s">
        <v>609</v>
      </c>
      <c r="K17" s="557"/>
    </row>
    <row r="18" spans="1:11">
      <c r="A18" s="21">
        <v>9</v>
      </c>
      <c r="B18" s="363" t="s">
        <v>327</v>
      </c>
      <c r="C18" s="363"/>
      <c r="D18" s="363"/>
      <c r="E18" s="363"/>
      <c r="F18" s="363"/>
      <c r="G18" s="363"/>
      <c r="H18" s="790">
        <f>-('Exhibit 10'!D11)</f>
        <v>204330.86</v>
      </c>
      <c r="I18" s="67"/>
      <c r="J18" s="258" t="s">
        <v>608</v>
      </c>
      <c r="K18" s="557"/>
    </row>
    <row r="19" spans="1:11">
      <c r="A19" s="21">
        <v>10</v>
      </c>
      <c r="B19" s="9" t="s">
        <v>588</v>
      </c>
      <c r="C19" s="335"/>
      <c r="D19" s="335"/>
      <c r="E19" s="335"/>
      <c r="F19" s="335"/>
      <c r="G19" s="335"/>
      <c r="H19" s="791">
        <f>'WP Retail Adjustments'!F22+'WP Retail Adjustments'!G22</f>
        <v>-646088</v>
      </c>
      <c r="I19" s="67"/>
      <c r="J19" s="258" t="s">
        <v>589</v>
      </c>
      <c r="K19" s="557"/>
    </row>
    <row r="20" spans="1:11" ht="15.75" thickBot="1">
      <c r="A20" s="21">
        <v>11</v>
      </c>
      <c r="B20" s="110" t="s">
        <v>1170</v>
      </c>
      <c r="C20" s="99"/>
      <c r="D20" s="99"/>
      <c r="E20" s="387"/>
      <c r="F20" s="386"/>
      <c r="G20" s="99"/>
      <c r="H20" s="788">
        <f>SUM(H13,H15:H19)</f>
        <v>8177370.3848981224</v>
      </c>
      <c r="I20" s="65"/>
      <c r="J20" s="258" t="s">
        <v>416</v>
      </c>
      <c r="K20" s="557"/>
    </row>
    <row r="21" spans="1:11" ht="15.75" thickTop="1">
      <c r="A21" s="21">
        <v>12</v>
      </c>
      <c r="B21" s="88"/>
      <c r="E21" s="269"/>
      <c r="F21" s="268"/>
      <c r="H21" s="549"/>
      <c r="I21" s="65"/>
      <c r="J21" s="258"/>
      <c r="K21" s="557"/>
    </row>
    <row r="22" spans="1:11" ht="15">
      <c r="A22" s="21">
        <v>13</v>
      </c>
      <c r="B22" s="14" t="s">
        <v>318</v>
      </c>
      <c r="E22" s="268"/>
      <c r="F22" s="268"/>
      <c r="H22" s="792">
        <f>+'WP Retail June True-Up'!H43</f>
        <v>101395.73818252492</v>
      </c>
      <c r="I22" s="68"/>
      <c r="J22" s="258" t="s">
        <v>730</v>
      </c>
      <c r="K22" s="557"/>
    </row>
    <row r="23" spans="1:11" ht="15.75" thickBot="1">
      <c r="A23" s="21">
        <v>14</v>
      </c>
      <c r="B23" s="262" t="s">
        <v>335</v>
      </c>
      <c r="C23" s="262"/>
      <c r="D23" s="262"/>
      <c r="E23" s="262"/>
      <c r="F23" s="262"/>
      <c r="G23" s="262"/>
      <c r="H23" s="876">
        <f>H20+H22</f>
        <v>8278766.1230806476</v>
      </c>
      <c r="I23" s="65"/>
      <c r="J23" s="258" t="s">
        <v>1199</v>
      </c>
      <c r="K23" s="557"/>
    </row>
    <row r="24" spans="1:11" ht="16.5" thickTop="1" thickBot="1">
      <c r="A24" s="64"/>
      <c r="B24" s="64"/>
      <c r="C24" s="64"/>
      <c r="D24" s="64"/>
      <c r="E24" s="270"/>
      <c r="F24" s="64"/>
      <c r="G24" s="64"/>
      <c r="H24" s="64"/>
      <c r="I24" s="64"/>
      <c r="J24" s="64"/>
    </row>
    <row r="25" spans="1:11" ht="15">
      <c r="A25" s="15"/>
      <c r="B25" s="62"/>
      <c r="C25" s="62"/>
      <c r="D25" s="565"/>
      <c r="E25" s="63"/>
      <c r="F25" s="63"/>
      <c r="G25" s="63"/>
      <c r="H25" s="63"/>
      <c r="I25" s="63"/>
      <c r="J25" s="62"/>
    </row>
    <row r="26" spans="1:11" ht="15">
      <c r="A26" s="58" t="s">
        <v>67</v>
      </c>
      <c r="B26" s="61"/>
      <c r="C26" s="55" t="s">
        <v>66</v>
      </c>
      <c r="D26" s="55" t="s">
        <v>43</v>
      </c>
      <c r="E26" s="55" t="s">
        <v>65</v>
      </c>
      <c r="F26" s="55" t="s">
        <v>64</v>
      </c>
      <c r="G26" s="55" t="s">
        <v>63</v>
      </c>
      <c r="H26" s="55" t="s">
        <v>62</v>
      </c>
      <c r="I26" s="55"/>
      <c r="J26" s="256"/>
    </row>
    <row r="27" spans="1:11" ht="15">
      <c r="A27" s="15"/>
      <c r="B27" s="44"/>
      <c r="C27" s="60"/>
      <c r="D27" s="60"/>
      <c r="E27" s="44"/>
      <c r="F27" s="931" t="s">
        <v>1200</v>
      </c>
      <c r="G27" s="59" t="s">
        <v>61</v>
      </c>
      <c r="H27" s="59" t="s">
        <v>60</v>
      </c>
      <c r="J27" s="256"/>
    </row>
    <row r="28" spans="1:11" ht="15">
      <c r="A28" s="15"/>
      <c r="B28" s="56"/>
      <c r="C28" s="58"/>
      <c r="D28" s="58"/>
      <c r="E28" s="57"/>
      <c r="F28" s="57"/>
      <c r="G28" s="57"/>
      <c r="H28" s="57"/>
      <c r="I28" s="55"/>
      <c r="J28" s="54"/>
    </row>
    <row r="29" spans="1:11" ht="15">
      <c r="A29" s="15"/>
      <c r="B29" s="56"/>
      <c r="C29" s="58"/>
      <c r="D29" s="58"/>
      <c r="E29" s="565"/>
      <c r="F29" s="565"/>
      <c r="G29" s="565" t="s">
        <v>57</v>
      </c>
      <c r="H29" s="565" t="s">
        <v>57</v>
      </c>
      <c r="I29" s="55"/>
      <c r="J29" s="54"/>
    </row>
    <row r="30" spans="1:11" ht="15">
      <c r="A30" s="15"/>
      <c r="B30" s="56"/>
      <c r="C30" s="940" t="s">
        <v>526</v>
      </c>
      <c r="D30" s="940"/>
      <c r="E30" s="565" t="s">
        <v>59</v>
      </c>
      <c r="F30" s="565" t="s">
        <v>58</v>
      </c>
      <c r="G30" s="565" t="s">
        <v>576</v>
      </c>
      <c r="H30" s="565" t="s">
        <v>577</v>
      </c>
      <c r="I30" s="55"/>
      <c r="J30" s="54"/>
    </row>
    <row r="31" spans="1:11" ht="15">
      <c r="A31" s="930" t="s">
        <v>14</v>
      </c>
      <c r="B31" s="454" t="s">
        <v>524</v>
      </c>
      <c r="C31" s="53" t="s">
        <v>56</v>
      </c>
      <c r="D31" s="52" t="s">
        <v>55</v>
      </c>
      <c r="E31" s="52" t="s">
        <v>575</v>
      </c>
      <c r="F31" s="53" t="s">
        <v>53</v>
      </c>
      <c r="G31" s="52" t="s">
        <v>52</v>
      </c>
      <c r="H31" s="52" t="s">
        <v>51</v>
      </c>
      <c r="I31" s="52"/>
      <c r="J31" s="567" t="s">
        <v>25</v>
      </c>
    </row>
    <row r="32" spans="1:11">
      <c r="A32" s="15">
        <v>15</v>
      </c>
      <c r="B32" s="44" t="s">
        <v>798</v>
      </c>
      <c r="C32" s="919">
        <v>194255661</v>
      </c>
      <c r="D32" s="920"/>
      <c r="E32" s="921">
        <v>0.3661112929620669</v>
      </c>
      <c r="F32" s="795">
        <f t="shared" ref="F32:F40" si="0">$H$23*E32</f>
        <v>3030949.769451614</v>
      </c>
      <c r="G32" s="796">
        <f>F32/C32</f>
        <v>1.560289030367879E-2</v>
      </c>
      <c r="H32" s="797"/>
      <c r="I32" s="51"/>
      <c r="J32" s="256" t="s">
        <v>50</v>
      </c>
    </row>
    <row r="33" spans="1:12">
      <c r="A33" s="15">
        <f>A32+1</f>
        <v>16</v>
      </c>
      <c r="B33" s="44" t="s">
        <v>799</v>
      </c>
      <c r="C33" s="919">
        <v>89481545</v>
      </c>
      <c r="D33" s="920"/>
      <c r="E33" s="921">
        <v>0.20734673194747652</v>
      </c>
      <c r="F33" s="795">
        <f t="shared" si="0"/>
        <v>1716575.1001782524</v>
      </c>
      <c r="G33" s="796">
        <f>F33/C33</f>
        <v>1.918356573054536E-2</v>
      </c>
      <c r="H33" s="797"/>
      <c r="I33" s="51"/>
      <c r="J33" s="256" t="s">
        <v>50</v>
      </c>
    </row>
    <row r="34" spans="1:12">
      <c r="A34" s="15">
        <f t="shared" ref="A34:A41" si="1">A33+1</f>
        <v>17</v>
      </c>
      <c r="B34" s="44" t="s">
        <v>800</v>
      </c>
      <c r="C34" s="919">
        <v>12738089</v>
      </c>
      <c r="D34" s="922">
        <v>33145.86</v>
      </c>
      <c r="E34" s="921">
        <v>2.3267995890016321E-2</v>
      </c>
      <c r="F34" s="795">
        <f t="shared" si="0"/>
        <v>192630.29612624686</v>
      </c>
      <c r="G34" s="796"/>
      <c r="H34" s="798">
        <f t="shared" ref="H34:H39" si="2">F34/D34</f>
        <v>5.8115944533117219</v>
      </c>
      <c r="I34" s="50"/>
      <c r="J34" s="256" t="s">
        <v>50</v>
      </c>
      <c r="K34" s="537"/>
    </row>
    <row r="35" spans="1:12">
      <c r="A35" s="15">
        <f t="shared" si="1"/>
        <v>18</v>
      </c>
      <c r="B35" s="44" t="s">
        <v>801</v>
      </c>
      <c r="C35" s="919">
        <v>19990020</v>
      </c>
      <c r="D35" s="922">
        <v>52021.52</v>
      </c>
      <c r="E35" s="921">
        <v>2.854233887652367E-2</v>
      </c>
      <c r="F35" s="795">
        <f t="shared" si="0"/>
        <v>236295.34816445192</v>
      </c>
      <c r="G35" s="796"/>
      <c r="H35" s="798">
        <f t="shared" si="2"/>
        <v>4.5422615133977615</v>
      </c>
      <c r="I35" s="50"/>
      <c r="J35" s="256" t="s">
        <v>50</v>
      </c>
      <c r="K35" s="537"/>
    </row>
    <row r="36" spans="1:12">
      <c r="A36" s="15">
        <f t="shared" si="1"/>
        <v>19</v>
      </c>
      <c r="B36" s="44" t="s">
        <v>802</v>
      </c>
      <c r="C36" s="919">
        <v>64136914</v>
      </c>
      <c r="D36" s="922">
        <v>184521.42699999997</v>
      </c>
      <c r="E36" s="921">
        <v>0.13921147442307877</v>
      </c>
      <c r="F36" s="795">
        <f t="shared" si="0"/>
        <v>1152499.2383978926</v>
      </c>
      <c r="G36" s="796"/>
      <c r="H36" s="798">
        <f t="shared" si="2"/>
        <v>6.245882969449899</v>
      </c>
      <c r="I36" s="50"/>
      <c r="J36" s="256" t="s">
        <v>50</v>
      </c>
      <c r="K36" s="537"/>
    </row>
    <row r="37" spans="1:12">
      <c r="A37" s="15">
        <f t="shared" si="1"/>
        <v>20</v>
      </c>
      <c r="B37" s="44" t="s">
        <v>803</v>
      </c>
      <c r="C37" s="919">
        <v>8688434</v>
      </c>
      <c r="D37" s="922">
        <v>21177.749999999996</v>
      </c>
      <c r="E37" s="921">
        <v>1.7617667359794233E-2</v>
      </c>
      <c r="F37" s="795">
        <f t="shared" si="0"/>
        <v>145852.54770596817</v>
      </c>
      <c r="G37" s="796"/>
      <c r="H37" s="798">
        <f t="shared" si="2"/>
        <v>6.8870653259183907</v>
      </c>
      <c r="I37" s="50"/>
      <c r="J37" s="256" t="s">
        <v>50</v>
      </c>
      <c r="K37" s="537"/>
    </row>
    <row r="38" spans="1:12">
      <c r="A38" s="15">
        <f t="shared" si="1"/>
        <v>21</v>
      </c>
      <c r="B38" s="44" t="s">
        <v>804</v>
      </c>
      <c r="C38" s="919">
        <v>26874600</v>
      </c>
      <c r="D38" s="922">
        <v>82295.5</v>
      </c>
      <c r="E38" s="921">
        <v>6.1725914833272597E-2</v>
      </c>
      <c r="F38" s="795">
        <f t="shared" si="0"/>
        <v>511014.41263785842</v>
      </c>
      <c r="G38" s="796"/>
      <c r="H38" s="798">
        <f t="shared" si="2"/>
        <v>6.2095061411360088</v>
      </c>
      <c r="I38" s="50"/>
      <c r="J38" s="256" t="s">
        <v>50</v>
      </c>
      <c r="K38" s="537"/>
    </row>
    <row r="39" spans="1:12">
      <c r="A39" s="15">
        <f t="shared" si="1"/>
        <v>22</v>
      </c>
      <c r="B39" s="44" t="s">
        <v>805</v>
      </c>
      <c r="C39" s="919">
        <v>95103200</v>
      </c>
      <c r="D39" s="922">
        <v>172989.6</v>
      </c>
      <c r="E39" s="921">
        <v>0.15382681321692873</v>
      </c>
      <c r="F39" s="795">
        <f t="shared" si="0"/>
        <v>1273496.210081764</v>
      </c>
      <c r="G39" s="796"/>
      <c r="H39" s="798">
        <f t="shared" si="2"/>
        <v>7.3616923218607591</v>
      </c>
      <c r="I39" s="50"/>
      <c r="J39" s="256" t="s">
        <v>50</v>
      </c>
      <c r="K39" s="537"/>
    </row>
    <row r="40" spans="1:12">
      <c r="A40" s="15">
        <f t="shared" si="1"/>
        <v>23</v>
      </c>
      <c r="B40" s="44" t="s">
        <v>1195</v>
      </c>
      <c r="C40" s="927">
        <v>2169608</v>
      </c>
      <c r="D40" s="919"/>
      <c r="E40" s="921">
        <v>2.3497704908423908E-3</v>
      </c>
      <c r="F40" s="799">
        <f t="shared" si="0"/>
        <v>19453.20033660057</v>
      </c>
      <c r="G40" s="796">
        <f>F40/C40</f>
        <v>8.9662281557777116E-3</v>
      </c>
      <c r="H40" s="794"/>
      <c r="I40" s="44"/>
      <c r="J40" s="256" t="s">
        <v>50</v>
      </c>
    </row>
    <row r="41" spans="1:12" ht="15.75" thickBot="1">
      <c r="A41" s="15">
        <f t="shared" si="1"/>
        <v>24</v>
      </c>
      <c r="B41" s="88" t="s">
        <v>335</v>
      </c>
      <c r="C41" s="800">
        <f>SUM(C32:C40)</f>
        <v>513438071</v>
      </c>
      <c r="D41" s="49"/>
      <c r="E41" s="801">
        <f>SUM(E32:E40)</f>
        <v>1</v>
      </c>
      <c r="F41" s="802">
        <f>SUM(F32:F40)</f>
        <v>8278766.1230806494</v>
      </c>
      <c r="G41" s="875"/>
      <c r="H41" s="44"/>
      <c r="I41" s="44"/>
      <c r="J41" s="455" t="s">
        <v>1201</v>
      </c>
    </row>
    <row r="42" spans="1:12" ht="15" thickTop="1">
      <c r="A42" s="44"/>
      <c r="B42" s="48"/>
      <c r="C42" s="267"/>
      <c r="D42" s="44"/>
      <c r="E42" s="44"/>
      <c r="F42" s="44"/>
      <c r="G42" s="44"/>
      <c r="H42" s="44"/>
      <c r="I42" s="44"/>
      <c r="J42" s="256"/>
      <c r="L42" s="44"/>
    </row>
    <row r="43" spans="1:12">
      <c r="A43" s="45" t="s">
        <v>11</v>
      </c>
      <c r="B43" s="47"/>
      <c r="C43" s="45"/>
      <c r="D43" s="46"/>
      <c r="E43" s="45"/>
      <c r="F43" s="45"/>
      <c r="G43" s="45"/>
      <c r="H43" s="45"/>
      <c r="I43" s="45"/>
      <c r="J43" s="45"/>
      <c r="K43" s="44"/>
      <c r="L43" s="44"/>
    </row>
    <row r="44" spans="1:12">
      <c r="A44" s="15">
        <v>1</v>
      </c>
      <c r="B44" s="3" t="s">
        <v>744</v>
      </c>
      <c r="C44" s="42"/>
      <c r="D44" s="42"/>
      <c r="E44" s="42"/>
      <c r="F44" s="42"/>
      <c r="G44" s="42"/>
      <c r="H44" s="42"/>
      <c r="I44" s="42"/>
      <c r="J44" s="42"/>
      <c r="K44" s="42"/>
      <c r="L44" s="42"/>
    </row>
    <row r="45" spans="1:12">
      <c r="A45" s="15">
        <v>2</v>
      </c>
      <c r="B45" s="3" t="s">
        <v>527</v>
      </c>
      <c r="C45" s="43"/>
      <c r="D45" s="43"/>
      <c r="E45" s="43"/>
      <c r="F45" s="43"/>
      <c r="G45" s="43"/>
      <c r="H45" s="43"/>
      <c r="I45" s="43"/>
      <c r="J45" s="43"/>
      <c r="K45" s="42"/>
      <c r="L45" s="42"/>
    </row>
    <row r="46" spans="1:12">
      <c r="A46" s="15">
        <v>3</v>
      </c>
      <c r="B46" s="3" t="s">
        <v>49</v>
      </c>
      <c r="C46" s="564"/>
      <c r="D46" s="564"/>
      <c r="E46" s="564"/>
      <c r="F46" s="564"/>
      <c r="G46" s="564"/>
      <c r="H46" s="564"/>
      <c r="I46" s="564"/>
      <c r="J46" s="564"/>
      <c r="K46" s="564"/>
      <c r="L46" s="564"/>
    </row>
    <row r="47" spans="1:12">
      <c r="A47" s="15">
        <v>4</v>
      </c>
      <c r="B47" s="256" t="s">
        <v>582</v>
      </c>
      <c r="C47" s="41"/>
    </row>
    <row r="48" spans="1:12">
      <c r="A48" s="15">
        <v>5</v>
      </c>
      <c r="B48" s="256" t="s">
        <v>578</v>
      </c>
      <c r="C48" s="41"/>
      <c r="I48" s="255"/>
    </row>
    <row r="49" spans="3:9">
      <c r="C49" s="41"/>
      <c r="I49" s="255"/>
    </row>
    <row r="50" spans="3:9">
      <c r="C50" s="41"/>
      <c r="I50" s="255"/>
    </row>
    <row r="51" spans="3:9">
      <c r="C51" s="41"/>
      <c r="I51" s="255"/>
    </row>
    <row r="52" spans="3:9">
      <c r="C52" s="41"/>
      <c r="I52" s="255"/>
    </row>
    <row r="53" spans="3:9">
      <c r="C53" s="41"/>
      <c r="I53" s="255"/>
    </row>
    <row r="54" spans="3:9">
      <c r="C54" s="41"/>
      <c r="I54" s="255"/>
    </row>
    <row r="55" spans="3:9">
      <c r="C55" s="41"/>
      <c r="I55" s="255"/>
    </row>
    <row r="56" spans="3:9">
      <c r="C56" s="41"/>
      <c r="I56" s="255"/>
    </row>
    <row r="57" spans="3:9">
      <c r="C57" s="41"/>
      <c r="I57" s="255"/>
    </row>
    <row r="58" spans="3:9">
      <c r="C58" s="41"/>
      <c r="I58" s="255"/>
    </row>
    <row r="59" spans="3:9">
      <c r="C59" s="41"/>
      <c r="I59" s="255"/>
    </row>
    <row r="60" spans="3:9">
      <c r="C60" s="41"/>
      <c r="I60" s="255"/>
    </row>
    <row r="61" spans="3:9">
      <c r="C61" s="41"/>
      <c r="I61" s="255"/>
    </row>
    <row r="62" spans="3:9">
      <c r="C62" s="41"/>
      <c r="I62" s="255"/>
    </row>
    <row r="63" spans="3:9">
      <c r="C63" s="41"/>
      <c r="I63" s="255"/>
    </row>
    <row r="64" spans="3:9">
      <c r="C64" s="41"/>
      <c r="I64" s="255"/>
    </row>
    <row r="65" spans="3:9">
      <c r="C65" s="41"/>
      <c r="I65" s="255"/>
    </row>
    <row r="66" spans="3:9">
      <c r="C66" s="41"/>
      <c r="I66" s="255"/>
    </row>
    <row r="67" spans="3:9">
      <c r="C67" s="41"/>
      <c r="I67" s="255"/>
    </row>
    <row r="68" spans="3:9">
      <c r="C68" s="41"/>
      <c r="I68" s="255"/>
    </row>
    <row r="69" spans="3:9">
      <c r="C69" s="41"/>
      <c r="I69" s="255"/>
    </row>
    <row r="70" spans="3:9">
      <c r="C70" s="41"/>
      <c r="I70" s="255"/>
    </row>
    <row r="71" spans="3:9">
      <c r="C71" s="41"/>
      <c r="I71" s="255"/>
    </row>
    <row r="72" spans="3:9">
      <c r="C72" s="41"/>
      <c r="I72" s="255"/>
    </row>
    <row r="73" spans="3:9">
      <c r="C73" s="41"/>
      <c r="I73" s="255"/>
    </row>
    <row r="74" spans="3:9">
      <c r="C74" s="41"/>
      <c r="I74" s="255"/>
    </row>
    <row r="75" spans="3:9">
      <c r="C75" s="41"/>
      <c r="I75" s="255"/>
    </row>
    <row r="76" spans="3:9">
      <c r="C76" s="41"/>
      <c r="I76" s="255"/>
    </row>
    <row r="77" spans="3:9">
      <c r="C77" s="41"/>
      <c r="I77" s="255"/>
    </row>
    <row r="78" spans="3:9">
      <c r="C78" s="41"/>
      <c r="I78" s="255"/>
    </row>
    <row r="79" spans="3:9">
      <c r="C79" s="41"/>
      <c r="I79" s="255"/>
    </row>
    <row r="80" spans="3:9">
      <c r="C80" s="41"/>
      <c r="I80" s="255"/>
    </row>
    <row r="81" spans="3:9">
      <c r="C81" s="41"/>
      <c r="I81" s="255"/>
    </row>
    <row r="82" spans="3:9">
      <c r="C82" s="41"/>
      <c r="I82" s="255"/>
    </row>
    <row r="83" spans="3:9">
      <c r="C83" s="41"/>
      <c r="I83" s="255"/>
    </row>
    <row r="84" spans="3:9">
      <c r="C84" s="41"/>
      <c r="I84" s="255"/>
    </row>
    <row r="85" spans="3:9">
      <c r="C85" s="41"/>
      <c r="I85" s="255"/>
    </row>
    <row r="86" spans="3:9">
      <c r="C86" s="41"/>
      <c r="I86" s="255"/>
    </row>
    <row r="87" spans="3:9">
      <c r="C87" s="41"/>
      <c r="I87" s="255"/>
    </row>
    <row r="88" spans="3:9">
      <c r="C88" s="41"/>
      <c r="I88" s="255"/>
    </row>
    <row r="89" spans="3:9">
      <c r="C89" s="41"/>
      <c r="I89" s="255"/>
    </row>
    <row r="90" spans="3:9">
      <c r="C90" s="41"/>
      <c r="I90" s="255"/>
    </row>
    <row r="91" spans="3:9">
      <c r="C91" s="41"/>
      <c r="I91" s="255"/>
    </row>
    <row r="92" spans="3:9">
      <c r="C92" s="41"/>
      <c r="I92" s="255"/>
    </row>
    <row r="93" spans="3:9">
      <c r="C93" s="41"/>
      <c r="I93" s="255"/>
    </row>
    <row r="94" spans="3:9">
      <c r="C94" s="41"/>
      <c r="I94" s="255"/>
    </row>
    <row r="95" spans="3:9">
      <c r="C95" s="41"/>
      <c r="I95" s="255"/>
    </row>
    <row r="96" spans="3:9">
      <c r="C96" s="41"/>
      <c r="I96" s="255"/>
    </row>
    <row r="97" spans="3:9">
      <c r="C97" s="41"/>
      <c r="I97" s="255"/>
    </row>
    <row r="98" spans="3:9">
      <c r="C98" s="41"/>
      <c r="I98" s="255"/>
    </row>
  </sheetData>
  <mergeCells count="1">
    <mergeCell ref="C30:D30"/>
  </mergeCells>
  <pageMargins left="0.5" right="0.5" top="0.5" bottom="0.5" header="0" footer="0"/>
  <pageSetup paperSize="5" scale="7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0"/>
  <sheetViews>
    <sheetView view="pageBreakPreview" zoomScale="81" zoomScaleNormal="85" zoomScaleSheetLayoutView="81" workbookViewId="0"/>
  </sheetViews>
  <sheetFormatPr defaultColWidth="8.88671875" defaultRowHeight="14.25"/>
  <cols>
    <col min="1" max="1" width="3.77734375" style="631" customWidth="1"/>
    <col min="2" max="2" width="37" style="631" customWidth="1"/>
    <col min="3" max="3" width="11.44140625" style="631" customWidth="1"/>
    <col min="4" max="4" width="3.77734375" style="631" customWidth="1"/>
    <col min="5" max="5" width="52.44140625" style="631" bestFit="1" customWidth="1"/>
    <col min="6" max="16384" width="8.88671875" style="631"/>
  </cols>
  <sheetData>
    <row r="1" spans="1:5" ht="15">
      <c r="A1" s="259" t="str">
        <f>'Exhibit 1a'!A1</f>
        <v>VERSANT POWER – MAINE PUBLIC DISTRICT OATT</v>
      </c>
      <c r="E1" s="653" t="s">
        <v>48</v>
      </c>
    </row>
    <row r="2" spans="1:5" ht="15">
      <c r="A2" s="259" t="str">
        <f>'Exhibit 1a'!A2</f>
        <v>ATTACHMENT J FORMULA RATES</v>
      </c>
      <c r="E2" s="653" t="s">
        <v>1143</v>
      </c>
    </row>
    <row r="3" spans="1:5" ht="15">
      <c r="A3" s="259" t="str">
        <f>'Exhibit 1a'!A3</f>
        <v>RATE YEAR JUNE 1, 2020 TO MAY 31, 2021</v>
      </c>
    </row>
    <row r="4" spans="1:5" ht="15">
      <c r="A4" s="259" t="str">
        <f>'Exhibit 1a'!A4</f>
        <v>Actual ATRR &amp; CHARGES BASED ON ACTUAL CY 2020 VALUES</v>
      </c>
    </row>
    <row r="5" spans="1:5" ht="15">
      <c r="A5" s="632"/>
    </row>
    <row r="6" spans="1:5" ht="15">
      <c r="A6" s="632" t="s">
        <v>1144</v>
      </c>
    </row>
    <row r="7" spans="1:5" ht="15">
      <c r="A7" s="632"/>
    </row>
    <row r="8" spans="1:5" ht="15">
      <c r="A8" s="632"/>
    </row>
    <row r="9" spans="1:5" ht="15">
      <c r="A9" s="617" t="s">
        <v>14</v>
      </c>
      <c r="B9" s="594" t="s">
        <v>13</v>
      </c>
      <c r="C9" s="472" t="s">
        <v>66</v>
      </c>
      <c r="D9" s="188"/>
      <c r="E9" s="630" t="s">
        <v>25</v>
      </c>
    </row>
    <row r="10" spans="1:5" ht="15">
      <c r="A10" s="635"/>
      <c r="B10" s="573"/>
      <c r="C10" s="573"/>
      <c r="D10" s="573"/>
      <c r="E10" s="573"/>
    </row>
    <row r="11" spans="1:5">
      <c r="A11" s="636">
        <v>1</v>
      </c>
      <c r="B11" s="337" t="s">
        <v>886</v>
      </c>
      <c r="C11" s="601">
        <f>'WP DTA(L) Detail'!E130</f>
        <v>-80448122.709999993</v>
      </c>
      <c r="D11" s="573"/>
      <c r="E11" s="933" t="s">
        <v>1209</v>
      </c>
    </row>
    <row r="12" spans="1:5">
      <c r="A12" s="636">
        <v>2</v>
      </c>
      <c r="C12" s="633"/>
      <c r="E12" s="936"/>
    </row>
    <row r="13" spans="1:5">
      <c r="A13" s="636">
        <v>3</v>
      </c>
      <c r="B13" s="631" t="s">
        <v>1147</v>
      </c>
      <c r="C13" s="648">
        <f>-'WP BHD EADIT'!I168</f>
        <v>-32990571.057947181</v>
      </c>
      <c r="E13" s="936" t="s">
        <v>1162</v>
      </c>
    </row>
    <row r="14" spans="1:5">
      <c r="A14" s="636">
        <v>4</v>
      </c>
      <c r="B14" s="631" t="s">
        <v>1148</v>
      </c>
      <c r="C14" s="649">
        <f>-'WP MPD EADIT'!I168</f>
        <v>-3888381.3932319223</v>
      </c>
      <c r="E14" s="936" t="s">
        <v>1163</v>
      </c>
    </row>
    <row r="15" spans="1:5">
      <c r="A15" s="636">
        <v>5</v>
      </c>
      <c r="C15" s="650">
        <f>SUM(C13:C14)</f>
        <v>-36878952.451179102</v>
      </c>
      <c r="E15" s="631" t="s">
        <v>1070</v>
      </c>
    </row>
    <row r="16" spans="1:5">
      <c r="A16" s="636">
        <v>6</v>
      </c>
      <c r="C16" s="634"/>
    </row>
    <row r="17" spans="1:5">
      <c r="A17" s="636">
        <v>7</v>
      </c>
      <c r="B17" s="631" t="s">
        <v>1158</v>
      </c>
      <c r="C17" s="656">
        <v>0.1140949301726389</v>
      </c>
      <c r="E17" s="938" t="s">
        <v>1145</v>
      </c>
    </row>
    <row r="18" spans="1:5">
      <c r="A18" s="636">
        <v>8</v>
      </c>
      <c r="C18" s="634"/>
    </row>
    <row r="19" spans="1:5">
      <c r="A19" s="636">
        <v>9</v>
      </c>
      <c r="B19" s="655" t="s">
        <v>1075</v>
      </c>
      <c r="C19" s="650">
        <f>'WP DTA(L) Detail'!E12</f>
        <v>-20803491.680992469</v>
      </c>
      <c r="E19" s="936" t="s">
        <v>1211</v>
      </c>
    </row>
    <row r="20" spans="1:5">
      <c r="A20" s="636">
        <v>10</v>
      </c>
      <c r="B20" s="57" t="s">
        <v>1076</v>
      </c>
      <c r="C20" s="650">
        <f>'WP DTA(L) Detail'!E55*(1-'WP LNS Allocator'!C17)</f>
        <v>-7974711.5799465161</v>
      </c>
      <c r="E20" s="936" t="s">
        <v>1212</v>
      </c>
    </row>
    <row r="21" spans="1:5">
      <c r="A21" s="636">
        <v>11</v>
      </c>
      <c r="B21" s="655" t="s">
        <v>1077</v>
      </c>
      <c r="C21" s="650">
        <f>'WP DTA(L) Detail'!E13</f>
        <v>-17637890.876792356</v>
      </c>
      <c r="E21" s="936" t="s">
        <v>1213</v>
      </c>
    </row>
    <row r="22" spans="1:5">
      <c r="A22" s="636">
        <v>12</v>
      </c>
      <c r="B22" s="655" t="s">
        <v>1078</v>
      </c>
      <c r="C22" s="650">
        <f>'WP DTA(L) Detail'!E14</f>
        <v>-12393421.146561287</v>
      </c>
      <c r="E22" s="936" t="s">
        <v>1214</v>
      </c>
    </row>
    <row r="23" spans="1:5">
      <c r="A23" s="636">
        <v>13</v>
      </c>
      <c r="B23" s="57" t="s">
        <v>1079</v>
      </c>
      <c r="C23" s="650">
        <f>'WP DTA(L) Detail'!E55*'WP LNS Allocator'!C17</f>
        <v>-1027056.0490620541</v>
      </c>
      <c r="E23" s="936" t="s">
        <v>1215</v>
      </c>
    </row>
    <row r="24" spans="1:5">
      <c r="A24" s="636">
        <v>14</v>
      </c>
      <c r="B24" s="57"/>
      <c r="C24" s="657">
        <f>SUM(C19:C23)</f>
        <v>-59836571.333354682</v>
      </c>
      <c r="E24" s="936" t="s">
        <v>1081</v>
      </c>
    </row>
    <row r="25" spans="1:5">
      <c r="A25" s="636">
        <v>15</v>
      </c>
      <c r="B25" s="57"/>
      <c r="C25" s="634"/>
      <c r="E25" s="936"/>
    </row>
    <row r="26" spans="1:5">
      <c r="A26" s="636">
        <v>16</v>
      </c>
      <c r="B26" s="631" t="s">
        <v>1073</v>
      </c>
      <c r="C26" s="652">
        <f>SUM(C19:C20)/C24</f>
        <v>0.48094672905994468</v>
      </c>
      <c r="E26" s="937" t="s">
        <v>1082</v>
      </c>
    </row>
    <row r="27" spans="1:5">
      <c r="A27" s="636">
        <v>17</v>
      </c>
      <c r="B27" s="631" t="s">
        <v>1071</v>
      </c>
      <c r="C27" s="651">
        <f>C15/C11</f>
        <v>0.45841905576989822</v>
      </c>
      <c r="E27" s="936" t="s">
        <v>1216</v>
      </c>
    </row>
    <row r="28" spans="1:5">
      <c r="A28" s="636">
        <v>18</v>
      </c>
      <c r="B28" s="631" t="s">
        <v>1072</v>
      </c>
      <c r="C28" s="651">
        <f>1-C27-C26</f>
        <v>6.0634215170157157E-2</v>
      </c>
      <c r="E28" s="936" t="s">
        <v>1217</v>
      </c>
    </row>
    <row r="29" spans="1:5">
      <c r="A29" s="636">
        <v>19</v>
      </c>
      <c r="E29" s="936"/>
    </row>
    <row r="30" spans="1:5">
      <c r="A30" s="636">
        <v>20</v>
      </c>
      <c r="B30" s="631" t="s">
        <v>870</v>
      </c>
      <c r="C30" s="651">
        <f>C27/SUM(C27:C28)</f>
        <v>0.88318305930267471</v>
      </c>
      <c r="E30" s="936" t="s">
        <v>1218</v>
      </c>
    </row>
  </sheetData>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73"/>
  <sheetViews>
    <sheetView view="pageBreakPreview" topLeftCell="A4" zoomScale="81" zoomScaleNormal="85" zoomScaleSheetLayoutView="81" workbookViewId="0"/>
  </sheetViews>
  <sheetFormatPr defaultColWidth="8.88671875" defaultRowHeight="14.25"/>
  <cols>
    <col min="1" max="1" width="4.33203125" style="688" customWidth="1"/>
    <col min="2" max="2" width="2.6640625" style="688" customWidth="1"/>
    <col min="3" max="3" width="46.88671875" style="688" customWidth="1"/>
    <col min="4" max="5" width="15.44140625" style="688" customWidth="1"/>
    <col min="6" max="6" width="12.33203125" style="688" customWidth="1"/>
    <col min="7" max="7" width="16.109375" style="688" customWidth="1"/>
    <col min="8" max="8" width="9.44140625" style="688" customWidth="1"/>
    <col min="9" max="9" width="12.6640625" style="688" bestFit="1" customWidth="1"/>
    <col min="10" max="10" width="4.6640625" style="688" customWidth="1"/>
    <col min="11" max="11" width="28.109375" style="688" bestFit="1" customWidth="1"/>
    <col min="12" max="16384" width="8.88671875" style="688"/>
  </cols>
  <sheetData>
    <row r="1" spans="1:11" ht="15">
      <c r="A1" s="259" t="str">
        <f>'Exhibit 1a'!A1</f>
        <v>VERSANT POWER – MAINE PUBLIC DISTRICT OATT</v>
      </c>
      <c r="B1" s="686"/>
      <c r="C1" s="686"/>
      <c r="D1" s="638"/>
      <c r="E1" s="638"/>
      <c r="F1" s="638"/>
      <c r="G1" s="687"/>
      <c r="H1" s="639"/>
      <c r="K1" s="645" t="s">
        <v>48</v>
      </c>
    </row>
    <row r="2" spans="1:11" ht="15">
      <c r="A2" s="259" t="str">
        <f>'Exhibit 1a'!A2</f>
        <v>ATTACHMENT J FORMULA RATES</v>
      </c>
      <c r="B2" s="686"/>
      <c r="C2" s="686"/>
      <c r="D2" s="638"/>
      <c r="E2" s="638"/>
      <c r="F2" s="638"/>
      <c r="G2" s="687"/>
      <c r="H2" s="639"/>
      <c r="K2" s="689" t="s">
        <v>1165</v>
      </c>
    </row>
    <row r="3" spans="1:11" ht="15">
      <c r="A3" s="259" t="str">
        <f>'Exhibit 1a'!A3</f>
        <v>RATE YEAR JUNE 1, 2020 TO MAY 31, 2021</v>
      </c>
      <c r="B3" s="686"/>
      <c r="C3" s="686"/>
      <c r="D3" s="638"/>
      <c r="E3" s="638"/>
      <c r="F3" s="638"/>
      <c r="G3" s="687"/>
      <c r="H3" s="639"/>
      <c r="I3" s="638"/>
    </row>
    <row r="4" spans="1:11" ht="15">
      <c r="A4" s="259" t="str">
        <f>'Exhibit 1a'!A4</f>
        <v>Actual ATRR &amp; CHARGES BASED ON ACTUAL CY 2020 VALUES</v>
      </c>
      <c r="D4" s="638"/>
      <c r="E4" s="638"/>
      <c r="F4" s="638"/>
      <c r="G4" s="687"/>
      <c r="H4" s="639"/>
      <c r="I4" s="638"/>
    </row>
    <row r="5" spans="1:11" ht="15">
      <c r="A5" s="690"/>
      <c r="D5" s="638"/>
      <c r="E5" s="638"/>
      <c r="F5" s="638"/>
      <c r="G5" s="687"/>
      <c r="H5" s="639"/>
      <c r="I5" s="638"/>
    </row>
    <row r="6" spans="1:11" ht="15">
      <c r="A6" s="690" t="s">
        <v>1164</v>
      </c>
      <c r="D6" s="638"/>
      <c r="E6" s="638"/>
      <c r="F6" s="638"/>
      <c r="G6" s="687"/>
      <c r="H6" s="639"/>
      <c r="I6" s="638"/>
    </row>
    <row r="7" spans="1:11" ht="15">
      <c r="A7" s="691"/>
      <c r="D7" s="681" t="s">
        <v>66</v>
      </c>
      <c r="E7" s="681" t="s">
        <v>43</v>
      </c>
      <c r="F7" s="681" t="s">
        <v>65</v>
      </c>
      <c r="G7" s="681"/>
      <c r="H7" s="681"/>
      <c r="I7" s="681"/>
    </row>
    <row r="8" spans="1:11" ht="15">
      <c r="A8" s="691"/>
      <c r="D8" s="681"/>
      <c r="E8" s="681"/>
      <c r="F8" s="681"/>
      <c r="G8" s="681"/>
      <c r="H8" s="681"/>
      <c r="I8" s="681"/>
    </row>
    <row r="9" spans="1:11" ht="15">
      <c r="A9" s="691"/>
      <c r="D9" s="952" t="s">
        <v>1057</v>
      </c>
      <c r="E9" s="952"/>
      <c r="F9" s="681"/>
      <c r="G9" s="681"/>
      <c r="H9" s="681"/>
      <c r="I9" s="681"/>
    </row>
    <row r="10" spans="1:11" ht="15">
      <c r="A10" s="692" t="s">
        <v>14</v>
      </c>
      <c r="B10" s="693" t="s">
        <v>13</v>
      </c>
      <c r="C10" s="693"/>
      <c r="D10" s="694" t="s">
        <v>1059</v>
      </c>
      <c r="E10" s="694" t="s">
        <v>1058</v>
      </c>
      <c r="F10" s="646"/>
      <c r="G10" s="695"/>
      <c r="H10" s="647"/>
      <c r="I10" s="646"/>
      <c r="J10" s="696"/>
      <c r="K10" s="89" t="s">
        <v>25</v>
      </c>
    </row>
    <row r="11" spans="1:11" ht="15">
      <c r="A11" s="691"/>
      <c r="D11" s="638"/>
      <c r="E11" s="638"/>
      <c r="F11" s="638"/>
      <c r="G11" s="687"/>
      <c r="H11" s="639"/>
      <c r="I11" s="638"/>
    </row>
    <row r="12" spans="1:11">
      <c r="A12" s="687">
        <v>1</v>
      </c>
      <c r="B12" s="688" t="s">
        <v>1060</v>
      </c>
      <c r="D12" s="697">
        <v>0.21</v>
      </c>
      <c r="E12" s="697">
        <v>0.35</v>
      </c>
      <c r="F12" s="304"/>
      <c r="G12" s="687"/>
      <c r="H12" s="642"/>
      <c r="I12" s="304"/>
    </row>
    <row r="13" spans="1:11" ht="15">
      <c r="A13" s="687">
        <v>2</v>
      </c>
      <c r="B13" s="688" t="s">
        <v>1061</v>
      </c>
      <c r="D13" s="697">
        <v>8.9300000000000004E-2</v>
      </c>
      <c r="E13" s="697">
        <v>8.9300000000000004E-2</v>
      </c>
      <c r="F13" s="681"/>
      <c r="G13" s="643"/>
      <c r="H13" s="643"/>
      <c r="I13" s="681"/>
    </row>
    <row r="14" spans="1:11" ht="15">
      <c r="A14" s="687">
        <v>3</v>
      </c>
      <c r="B14" s="688" t="s">
        <v>1062</v>
      </c>
      <c r="D14" s="698">
        <f>D12+(D13*(1-D12))</f>
        <v>0.28054699999999999</v>
      </c>
      <c r="E14" s="698">
        <f>E12+(E13*(1-E12))</f>
        <v>0.40804499999999999</v>
      </c>
      <c r="F14" s="303"/>
      <c r="G14" s="699"/>
      <c r="H14" s="644"/>
      <c r="I14" s="681"/>
      <c r="K14" s="688" t="s">
        <v>1063</v>
      </c>
    </row>
    <row r="15" spans="1:11" ht="15">
      <c r="A15" s="687"/>
      <c r="D15" s="700"/>
      <c r="E15" s="700"/>
      <c r="F15" s="457"/>
      <c r="G15" s="701"/>
      <c r="H15" s="701"/>
      <c r="I15" s="33"/>
    </row>
    <row r="16" spans="1:11" ht="15">
      <c r="A16" s="687"/>
      <c r="D16" s="702" t="s">
        <v>66</v>
      </c>
      <c r="E16" s="702" t="s">
        <v>43</v>
      </c>
      <c r="F16" s="681" t="s">
        <v>1064</v>
      </c>
      <c r="G16" s="953" t="s">
        <v>64</v>
      </c>
      <c r="H16" s="953"/>
      <c r="I16" s="33" t="s">
        <v>145</v>
      </c>
    </row>
    <row r="17" spans="1:12" ht="15">
      <c r="A17" s="687"/>
      <c r="D17" s="700"/>
      <c r="E17" s="700"/>
      <c r="F17" s="457"/>
      <c r="G17" s="703"/>
      <c r="H17" s="703"/>
      <c r="I17" s="33"/>
    </row>
    <row r="18" spans="1:12" ht="15">
      <c r="A18" s="687"/>
      <c r="D18" s="704" t="s">
        <v>1069</v>
      </c>
      <c r="E18" s="704" t="s">
        <v>1065</v>
      </c>
      <c r="F18" s="457"/>
      <c r="G18" s="701"/>
      <c r="H18" s="701"/>
      <c r="I18" s="33"/>
    </row>
    <row r="19" spans="1:12" ht="15">
      <c r="A19" s="692" t="s">
        <v>14</v>
      </c>
      <c r="B19" s="693" t="s">
        <v>13</v>
      </c>
      <c r="C19" s="693"/>
      <c r="D19" s="705" t="s">
        <v>1066</v>
      </c>
      <c r="E19" s="705" t="s">
        <v>1067</v>
      </c>
      <c r="F19" s="89" t="s">
        <v>1056</v>
      </c>
      <c r="G19" s="943" t="s">
        <v>1068</v>
      </c>
      <c r="H19" s="943"/>
      <c r="I19" s="89" t="s">
        <v>3</v>
      </c>
      <c r="J19" s="89"/>
      <c r="K19" s="89" t="s">
        <v>25</v>
      </c>
    </row>
    <row r="20" spans="1:12">
      <c r="A20" s="687"/>
      <c r="D20" s="304"/>
      <c r="E20" s="304"/>
      <c r="F20" s="304"/>
      <c r="G20" s="687"/>
      <c r="H20" s="642"/>
      <c r="I20" s="304"/>
    </row>
    <row r="21" spans="1:12" s="451" customFormat="1" ht="15">
      <c r="A21" s="706">
        <v>4</v>
      </c>
      <c r="B21" s="222" t="s">
        <v>1149</v>
      </c>
      <c r="C21" s="707"/>
      <c r="D21" s="707"/>
      <c r="E21" s="707"/>
      <c r="F21" s="708"/>
      <c r="G21" s="352"/>
      <c r="H21" s="709"/>
      <c r="I21" s="486"/>
      <c r="J21" s="486"/>
      <c r="K21" s="710"/>
      <c r="L21" s="222"/>
    </row>
    <row r="22" spans="1:12" s="451" customFormat="1">
      <c r="A22" s="706">
        <v>5</v>
      </c>
      <c r="B22" s="222"/>
      <c r="C22" s="711"/>
      <c r="D22" s="362"/>
      <c r="E22" s="271"/>
      <c r="F22" s="271"/>
      <c r="G22" s="712"/>
      <c r="H22" s="713"/>
      <c r="I22" s="486"/>
      <c r="J22" s="486"/>
      <c r="K22" s="710"/>
      <c r="L22" s="222"/>
    </row>
    <row r="23" spans="1:12" s="451" customFormat="1">
      <c r="A23" s="706">
        <v>6</v>
      </c>
      <c r="B23" s="222"/>
      <c r="C23" s="711"/>
      <c r="D23" s="362"/>
      <c r="E23" s="362"/>
      <c r="F23" s="714"/>
      <c r="G23" s="439"/>
      <c r="H23" s="713"/>
      <c r="I23" s="486"/>
      <c r="J23" s="486"/>
      <c r="K23" s="710"/>
      <c r="L23" s="222"/>
    </row>
    <row r="24" spans="1:12" s="451" customFormat="1">
      <c r="A24" s="706">
        <v>7</v>
      </c>
      <c r="B24" s="222"/>
      <c r="C24" s="715"/>
      <c r="D24" s="362"/>
      <c r="E24" s="362"/>
      <c r="F24" s="714"/>
      <c r="G24" s="439"/>
      <c r="H24" s="713"/>
      <c r="I24" s="486"/>
      <c r="J24" s="486"/>
      <c r="K24" s="710"/>
      <c r="L24" s="222"/>
    </row>
    <row r="25" spans="1:12" s="451" customFormat="1">
      <c r="A25" s="706">
        <v>8</v>
      </c>
      <c r="B25" s="222"/>
      <c r="C25" s="716"/>
      <c r="D25" s="362"/>
      <c r="E25" s="362"/>
      <c r="F25" s="717"/>
      <c r="G25" s="222"/>
      <c r="H25" s="222"/>
      <c r="I25" s="486"/>
      <c r="J25" s="486"/>
      <c r="K25" s="710"/>
      <c r="L25" s="222"/>
    </row>
    <row r="26" spans="1:12" s="451" customFormat="1">
      <c r="A26" s="706">
        <v>9</v>
      </c>
      <c r="B26" s="222"/>
      <c r="C26" s="716"/>
      <c r="D26" s="716"/>
      <c r="E26" s="716"/>
      <c r="F26" s="717"/>
      <c r="G26" s="352"/>
      <c r="H26" s="709"/>
      <c r="I26" s="486"/>
      <c r="J26" s="486"/>
      <c r="K26" s="710"/>
      <c r="L26" s="222"/>
    </row>
    <row r="27" spans="1:12" s="451" customFormat="1">
      <c r="A27" s="706">
        <v>10</v>
      </c>
      <c r="B27" s="222"/>
      <c r="C27" s="716"/>
      <c r="D27" s="716"/>
      <c r="E27" s="716"/>
      <c r="F27" s="717"/>
      <c r="G27" s="352"/>
      <c r="H27" s="709"/>
      <c r="I27" s="486"/>
      <c r="J27" s="486"/>
      <c r="K27" s="710"/>
      <c r="L27" s="222"/>
    </row>
    <row r="28" spans="1:12" s="451" customFormat="1">
      <c r="A28" s="706">
        <v>11</v>
      </c>
      <c r="B28" s="222"/>
      <c r="C28" s="716"/>
      <c r="D28" s="716"/>
      <c r="E28" s="716"/>
      <c r="F28" s="717"/>
      <c r="G28" s="352"/>
      <c r="H28" s="709"/>
      <c r="I28" s="486"/>
      <c r="J28" s="486"/>
      <c r="K28" s="710"/>
      <c r="L28" s="222"/>
    </row>
    <row r="29" spans="1:12" s="451" customFormat="1">
      <c r="A29" s="706">
        <v>12</v>
      </c>
      <c r="B29" s="222"/>
      <c r="C29" s="716"/>
      <c r="D29" s="716"/>
      <c r="E29" s="716"/>
      <c r="F29" s="717"/>
      <c r="G29" s="352"/>
      <c r="H29" s="709"/>
      <c r="I29" s="486"/>
      <c r="J29" s="486"/>
      <c r="K29" s="710"/>
      <c r="L29" s="222"/>
    </row>
    <row r="30" spans="1:12" s="451" customFormat="1">
      <c r="A30" s="706">
        <v>13</v>
      </c>
      <c r="B30" s="222"/>
      <c r="C30" s="716"/>
      <c r="D30" s="716"/>
      <c r="E30" s="716"/>
      <c r="F30" s="718"/>
      <c r="G30" s="352"/>
      <c r="H30" s="709"/>
      <c r="I30" s="486"/>
      <c r="J30" s="486"/>
      <c r="K30" s="710"/>
      <c r="L30" s="222"/>
    </row>
    <row r="31" spans="1:12" s="451" customFormat="1">
      <c r="A31" s="706">
        <v>14</v>
      </c>
      <c r="B31" s="222"/>
      <c r="C31" s="716"/>
      <c r="D31" s="716"/>
      <c r="E31" s="716"/>
      <c r="F31" s="718"/>
      <c r="G31" s="352"/>
      <c r="H31" s="709"/>
      <c r="I31" s="486"/>
      <c r="J31" s="486"/>
      <c r="K31" s="710"/>
      <c r="L31" s="222"/>
    </row>
    <row r="32" spans="1:12" s="222" customFormat="1" ht="14.45" customHeight="1">
      <c r="A32" s="706">
        <v>15</v>
      </c>
      <c r="C32" s="433"/>
      <c r="D32" s="433"/>
      <c r="E32" s="433"/>
      <c r="F32" s="719">
        <f>SUM(F22:F31)</f>
        <v>0</v>
      </c>
      <c r="G32" s="720" t="s">
        <v>1150</v>
      </c>
      <c r="H32" s="721">
        <v>1</v>
      </c>
      <c r="I32" s="719">
        <f>F32*H32</f>
        <v>0</v>
      </c>
      <c r="J32" s="486"/>
      <c r="K32" s="710"/>
    </row>
    <row r="33" spans="1:12" s="222" customFormat="1">
      <c r="A33" s="706">
        <v>16</v>
      </c>
      <c r="C33" s="433"/>
      <c r="D33" s="433"/>
      <c r="E33" s="433"/>
      <c r="F33" s="722"/>
      <c r="G33" s="352"/>
      <c r="H33" s="709"/>
      <c r="I33" s="486"/>
      <c r="J33" s="486"/>
      <c r="K33" s="710"/>
    </row>
    <row r="34" spans="1:12" s="451" customFormat="1">
      <c r="A34" s="706">
        <v>17</v>
      </c>
      <c r="B34" s="222"/>
      <c r="C34" s="723" t="s">
        <v>777</v>
      </c>
      <c r="D34" s="271">
        <v>8312932.3963253507</v>
      </c>
      <c r="E34" s="271">
        <f t="shared" ref="E34:E38" si="0">(D34/$D$14)*$E$14</f>
        <v>12090845.7394254</v>
      </c>
      <c r="F34" s="271">
        <f t="shared" ref="F34:F38" si="1">D34-E34</f>
        <v>-3777913.3431000495</v>
      </c>
      <c r="G34" s="712"/>
      <c r="H34" s="713"/>
      <c r="I34" s="486"/>
      <c r="J34" s="486"/>
      <c r="K34" s="710"/>
      <c r="L34" s="222"/>
    </row>
    <row r="35" spans="1:12" s="451" customFormat="1">
      <c r="A35" s="706">
        <v>18</v>
      </c>
      <c r="B35" s="222"/>
      <c r="C35" s="723" t="s">
        <v>1041</v>
      </c>
      <c r="D35" s="271">
        <v>141395.68799999999</v>
      </c>
      <c r="E35" s="271">
        <f t="shared" si="0"/>
        <v>205654.68</v>
      </c>
      <c r="F35" s="271">
        <f t="shared" si="1"/>
        <v>-64258.991999999998</v>
      </c>
      <c r="G35" s="439"/>
      <c r="H35" s="713"/>
      <c r="I35" s="486"/>
      <c r="J35" s="486"/>
      <c r="K35" s="710"/>
      <c r="L35" s="222"/>
    </row>
    <row r="36" spans="1:12" s="451" customFormat="1">
      <c r="A36" s="706">
        <v>19</v>
      </c>
      <c r="B36" s="222"/>
      <c r="C36" s="723" t="s">
        <v>780</v>
      </c>
      <c r="D36" s="271">
        <v>4331873.6926839557</v>
      </c>
      <c r="E36" s="271">
        <f t="shared" si="0"/>
        <v>6300546.4358243886</v>
      </c>
      <c r="F36" s="271">
        <f t="shared" si="1"/>
        <v>-1968672.743140433</v>
      </c>
      <c r="G36" s="439"/>
      <c r="H36" s="713"/>
      <c r="I36" s="486"/>
      <c r="J36" s="486"/>
      <c r="K36" s="710"/>
      <c r="L36" s="222"/>
    </row>
    <row r="37" spans="1:12" s="451" customFormat="1">
      <c r="A37" s="706">
        <v>20</v>
      </c>
      <c r="B37" s="222"/>
      <c r="C37" s="724" t="s">
        <v>778</v>
      </c>
      <c r="D37" s="271">
        <v>696856.77788514039</v>
      </c>
      <c r="E37" s="271">
        <f t="shared" si="0"/>
        <v>1013551.8252989413</v>
      </c>
      <c r="F37" s="271">
        <f t="shared" si="1"/>
        <v>-316695.04741380096</v>
      </c>
      <c r="G37" s="222"/>
      <c r="H37" s="222"/>
      <c r="I37" s="486"/>
      <c r="J37" s="486"/>
      <c r="K37" s="710"/>
      <c r="L37" s="222"/>
    </row>
    <row r="38" spans="1:12" s="451" customFormat="1">
      <c r="A38" s="706">
        <v>21</v>
      </c>
      <c r="B38" s="222"/>
      <c r="C38" s="724" t="s">
        <v>779</v>
      </c>
      <c r="D38" s="271">
        <v>172911.46583431604</v>
      </c>
      <c r="E38" s="271">
        <f t="shared" si="0"/>
        <v>251493.18679709098</v>
      </c>
      <c r="F38" s="271">
        <f t="shared" si="1"/>
        <v>-78581.72096277494</v>
      </c>
      <c r="G38" s="352"/>
      <c r="H38" s="709"/>
      <c r="I38" s="486"/>
      <c r="J38" s="486"/>
      <c r="K38" s="710"/>
      <c r="L38" s="222"/>
    </row>
    <row r="39" spans="1:12" s="451" customFormat="1">
      <c r="A39" s="706">
        <v>22</v>
      </c>
      <c r="B39" s="222"/>
      <c r="C39" s="724"/>
      <c r="D39" s="271"/>
      <c r="E39" s="271"/>
      <c r="F39" s="271"/>
      <c r="G39" s="352"/>
      <c r="H39" s="709"/>
      <c r="I39" s="486"/>
      <c r="J39" s="486"/>
      <c r="K39" s="710"/>
      <c r="L39" s="222"/>
    </row>
    <row r="40" spans="1:12" s="451" customFormat="1">
      <c r="A40" s="706">
        <v>23</v>
      </c>
      <c r="B40" s="222"/>
      <c r="C40" s="716"/>
      <c r="D40" s="716"/>
      <c r="E40" s="716"/>
      <c r="F40" s="717"/>
      <c r="G40" s="352"/>
      <c r="H40" s="709"/>
      <c r="I40" s="486"/>
      <c r="J40" s="486"/>
      <c r="K40" s="710"/>
      <c r="L40" s="222"/>
    </row>
    <row r="41" spans="1:12" s="451" customFormat="1">
      <c r="A41" s="706">
        <v>24</v>
      </c>
      <c r="B41" s="222"/>
      <c r="C41" s="716"/>
      <c r="D41" s="716"/>
      <c r="E41" s="716"/>
      <c r="F41" s="717"/>
      <c r="G41" s="352"/>
      <c r="H41" s="709"/>
      <c r="I41" s="486"/>
      <c r="J41" s="486"/>
      <c r="K41" s="710"/>
      <c r="L41" s="222"/>
    </row>
    <row r="42" spans="1:12" s="451" customFormat="1">
      <c r="A42" s="706">
        <v>25</v>
      </c>
      <c r="B42" s="222"/>
      <c r="C42" s="716"/>
      <c r="D42" s="716"/>
      <c r="E42" s="716"/>
      <c r="F42" s="718"/>
      <c r="G42" s="352"/>
      <c r="H42" s="709"/>
      <c r="I42" s="486"/>
      <c r="J42" s="486"/>
      <c r="K42" s="710"/>
      <c r="L42" s="222"/>
    </row>
    <row r="43" spans="1:12" s="451" customFormat="1">
      <c r="A43" s="706">
        <v>26</v>
      </c>
      <c r="B43" s="222"/>
      <c r="C43" s="716"/>
      <c r="D43" s="716"/>
      <c r="E43" s="716"/>
      <c r="F43" s="718"/>
      <c r="G43" s="352"/>
      <c r="H43" s="709"/>
      <c r="I43" s="486"/>
      <c r="J43" s="486"/>
      <c r="K43" s="710"/>
      <c r="L43" s="222"/>
    </row>
    <row r="44" spans="1:12" s="222" customFormat="1" ht="14.45" customHeight="1">
      <c r="A44" s="706">
        <v>27</v>
      </c>
      <c r="C44" s="433"/>
      <c r="D44" s="433"/>
      <c r="E44" s="433"/>
      <c r="F44" s="719">
        <f>SUM(F34:F43)</f>
        <v>-6206121.8466170579</v>
      </c>
      <c r="G44" s="720" t="s">
        <v>640</v>
      </c>
      <c r="H44" s="725">
        <v>0.1140949301726389</v>
      </c>
      <c r="I44" s="719">
        <f>F44*H44</f>
        <v>-708087.03873266198</v>
      </c>
      <c r="J44" s="486"/>
      <c r="K44" s="710"/>
    </row>
    <row r="45" spans="1:12" s="222" customFormat="1">
      <c r="A45" s="706">
        <v>28</v>
      </c>
      <c r="C45" s="433"/>
      <c r="D45" s="433"/>
      <c r="E45" s="433"/>
      <c r="F45" s="722"/>
      <c r="G45" s="352"/>
      <c r="H45" s="709"/>
      <c r="I45" s="486"/>
      <c r="J45" s="486"/>
      <c r="K45" s="710"/>
    </row>
    <row r="46" spans="1:12" s="451" customFormat="1">
      <c r="A46" s="706">
        <v>29</v>
      </c>
      <c r="B46" s="222"/>
      <c r="C46" s="716"/>
      <c r="D46" s="716"/>
      <c r="E46" s="716"/>
      <c r="F46" s="718"/>
      <c r="G46" s="352"/>
      <c r="H46" s="709"/>
      <c r="I46" s="486"/>
      <c r="J46" s="486"/>
      <c r="K46" s="710"/>
      <c r="L46" s="222"/>
    </row>
    <row r="47" spans="1:12" s="451" customFormat="1">
      <c r="A47" s="706">
        <v>30</v>
      </c>
      <c r="B47" s="222"/>
      <c r="C47" s="716"/>
      <c r="D47" s="716"/>
      <c r="E47" s="716"/>
      <c r="F47" s="718"/>
      <c r="G47" s="352"/>
      <c r="H47" s="709"/>
      <c r="I47" s="486"/>
      <c r="J47" s="486"/>
      <c r="K47" s="710"/>
      <c r="L47" s="222"/>
    </row>
    <row r="48" spans="1:12" s="451" customFormat="1">
      <c r="A48" s="706">
        <v>31</v>
      </c>
      <c r="B48" s="222"/>
      <c r="C48" s="716"/>
      <c r="D48" s="716"/>
      <c r="E48" s="716"/>
      <c r="F48" s="718"/>
      <c r="G48" s="352"/>
      <c r="H48" s="709"/>
      <c r="I48" s="486"/>
      <c r="J48" s="486"/>
      <c r="K48" s="710"/>
      <c r="L48" s="222"/>
    </row>
    <row r="49" spans="1:12" s="451" customFormat="1">
      <c r="A49" s="706">
        <v>32</v>
      </c>
      <c r="B49" s="222"/>
      <c r="C49" s="716"/>
      <c r="D49" s="716"/>
      <c r="E49" s="716"/>
      <c r="F49" s="718"/>
      <c r="G49" s="352"/>
      <c r="H49" s="709"/>
      <c r="I49" s="486"/>
      <c r="J49" s="486"/>
      <c r="K49" s="710"/>
      <c r="L49" s="222"/>
    </row>
    <row r="50" spans="1:12" s="451" customFormat="1">
      <c r="A50" s="706">
        <v>33</v>
      </c>
      <c r="B50" s="222"/>
      <c r="C50" s="716"/>
      <c r="D50" s="716"/>
      <c r="E50" s="716"/>
      <c r="F50" s="718"/>
      <c r="G50" s="352"/>
      <c r="H50" s="709"/>
      <c r="I50" s="486"/>
      <c r="J50" s="486"/>
      <c r="K50" s="710"/>
      <c r="L50" s="222"/>
    </row>
    <row r="51" spans="1:12" s="451" customFormat="1">
      <c r="A51" s="706">
        <v>34</v>
      </c>
      <c r="B51" s="222"/>
      <c r="C51" s="716"/>
      <c r="D51" s="716"/>
      <c r="E51" s="716"/>
      <c r="F51" s="718"/>
      <c r="G51" s="352"/>
      <c r="H51" s="709"/>
      <c r="I51" s="486"/>
      <c r="J51" s="486"/>
      <c r="K51" s="710"/>
      <c r="L51" s="222"/>
    </row>
    <row r="52" spans="1:12" s="451" customFormat="1">
      <c r="A52" s="706">
        <v>35</v>
      </c>
      <c r="B52" s="222"/>
      <c r="C52" s="716"/>
      <c r="D52" s="716"/>
      <c r="E52" s="716"/>
      <c r="F52" s="718"/>
      <c r="G52" s="352"/>
      <c r="H52" s="709"/>
      <c r="I52" s="486"/>
      <c r="J52" s="486"/>
      <c r="K52" s="710"/>
      <c r="L52" s="222"/>
    </row>
    <row r="53" spans="1:12" s="451" customFormat="1">
      <c r="A53" s="706">
        <v>36</v>
      </c>
      <c r="B53" s="222"/>
      <c r="C53" s="716"/>
      <c r="D53" s="716"/>
      <c r="E53" s="716"/>
      <c r="F53" s="718"/>
      <c r="G53" s="352"/>
      <c r="H53" s="709"/>
      <c r="I53" s="486"/>
      <c r="J53" s="486"/>
      <c r="K53" s="710"/>
      <c r="L53" s="222"/>
    </row>
    <row r="54" spans="1:12" s="451" customFormat="1">
      <c r="A54" s="706">
        <v>37</v>
      </c>
      <c r="B54" s="222"/>
      <c r="C54" s="716"/>
      <c r="D54" s="716"/>
      <c r="E54" s="716"/>
      <c r="F54" s="718"/>
      <c r="G54" s="352"/>
      <c r="H54" s="709"/>
      <c r="I54" s="486"/>
      <c r="J54" s="486"/>
      <c r="K54" s="710"/>
      <c r="L54" s="222"/>
    </row>
    <row r="55" spans="1:12" s="451" customFormat="1">
      <c r="A55" s="706">
        <v>38</v>
      </c>
      <c r="B55" s="222"/>
      <c r="C55" s="716"/>
      <c r="D55" s="716"/>
      <c r="E55" s="716"/>
      <c r="F55" s="718"/>
      <c r="G55" s="352"/>
      <c r="H55" s="709"/>
      <c r="I55" s="486"/>
      <c r="J55" s="486"/>
      <c r="K55" s="710"/>
      <c r="L55" s="222"/>
    </row>
    <row r="56" spans="1:12" s="222" customFormat="1" ht="14.45" customHeight="1">
      <c r="A56" s="706">
        <v>39</v>
      </c>
      <c r="C56" s="433"/>
      <c r="D56" s="433"/>
      <c r="E56" s="433"/>
      <c r="F56" s="719">
        <f>SUM(F46:F55)</f>
        <v>0</v>
      </c>
      <c r="G56" s="726" t="s">
        <v>641</v>
      </c>
      <c r="H56" s="725"/>
      <c r="I56" s="719">
        <f>F56*H56</f>
        <v>0</v>
      </c>
      <c r="J56" s="486"/>
      <c r="K56" s="710"/>
    </row>
    <row r="57" spans="1:12" s="222" customFormat="1">
      <c r="A57" s="706">
        <v>40</v>
      </c>
      <c r="C57" s="433"/>
      <c r="D57" s="433"/>
      <c r="E57" s="433"/>
      <c r="F57" s="722"/>
      <c r="G57" s="352"/>
      <c r="H57" s="709"/>
      <c r="I57" s="486"/>
      <c r="J57" s="486"/>
      <c r="K57" s="710"/>
    </row>
    <row r="58" spans="1:12" s="451" customFormat="1">
      <c r="A58" s="706">
        <v>41</v>
      </c>
      <c r="B58" s="222"/>
      <c r="C58" s="716"/>
      <c r="D58" s="716"/>
      <c r="E58" s="271"/>
      <c r="F58" s="271"/>
      <c r="G58" s="352"/>
      <c r="H58" s="709"/>
      <c r="I58" s="486"/>
      <c r="J58" s="486"/>
      <c r="K58" s="710"/>
      <c r="L58" s="222"/>
    </row>
    <row r="59" spans="1:12" s="451" customFormat="1">
      <c r="A59" s="706">
        <v>42</v>
      </c>
      <c r="B59" s="222"/>
      <c r="C59" s="716"/>
      <c r="D59" s="716"/>
      <c r="E59" s="716"/>
      <c r="F59" s="718"/>
      <c r="G59" s="352"/>
      <c r="H59" s="709"/>
      <c r="I59" s="486"/>
      <c r="J59" s="486"/>
      <c r="K59" s="710"/>
      <c r="L59" s="222"/>
    </row>
    <row r="60" spans="1:12" s="451" customFormat="1">
      <c r="A60" s="706">
        <v>43</v>
      </c>
      <c r="B60" s="222"/>
      <c r="C60" s="716"/>
      <c r="D60" s="716"/>
      <c r="E60" s="716"/>
      <c r="F60" s="718"/>
      <c r="G60" s="352"/>
      <c r="H60" s="709"/>
      <c r="I60" s="486"/>
      <c r="J60" s="486"/>
      <c r="K60" s="710"/>
      <c r="L60" s="222"/>
    </row>
    <row r="61" spans="1:12" s="451" customFormat="1">
      <c r="A61" s="706">
        <v>44</v>
      </c>
      <c r="B61" s="222"/>
      <c r="C61" s="716"/>
      <c r="D61" s="716"/>
      <c r="E61" s="716"/>
      <c r="F61" s="718"/>
      <c r="G61" s="352"/>
      <c r="H61" s="709"/>
      <c r="I61" s="486"/>
      <c r="J61" s="486"/>
      <c r="K61" s="710"/>
      <c r="L61" s="222"/>
    </row>
    <row r="62" spans="1:12" s="451" customFormat="1">
      <c r="A62" s="706">
        <v>45</v>
      </c>
      <c r="B62" s="222"/>
      <c r="C62" s="716"/>
      <c r="D62" s="716"/>
      <c r="E62" s="716"/>
      <c r="F62" s="718"/>
      <c r="G62" s="352"/>
      <c r="H62" s="709"/>
      <c r="I62" s="486"/>
      <c r="J62" s="486"/>
      <c r="K62" s="710"/>
      <c r="L62" s="222"/>
    </row>
    <row r="63" spans="1:12" s="451" customFormat="1">
      <c r="A63" s="706">
        <v>46</v>
      </c>
      <c r="B63" s="222"/>
      <c r="C63" s="716"/>
      <c r="D63" s="716"/>
      <c r="E63" s="716"/>
      <c r="F63" s="718"/>
      <c r="G63" s="352"/>
      <c r="H63" s="709"/>
      <c r="I63" s="486"/>
      <c r="J63" s="486"/>
      <c r="K63" s="710"/>
      <c r="L63" s="222"/>
    </row>
    <row r="64" spans="1:12" s="451" customFormat="1">
      <c r="A64" s="706">
        <v>47</v>
      </c>
      <c r="B64" s="222"/>
      <c r="C64" s="716"/>
      <c r="D64" s="716"/>
      <c r="E64" s="716"/>
      <c r="F64" s="718"/>
      <c r="G64" s="352"/>
      <c r="H64" s="709"/>
      <c r="I64" s="486"/>
      <c r="J64" s="486"/>
      <c r="K64" s="710"/>
      <c r="L64" s="222"/>
    </row>
    <row r="65" spans="1:12" s="451" customFormat="1">
      <c r="A65" s="706">
        <v>48</v>
      </c>
      <c r="B65" s="222"/>
      <c r="C65" s="716"/>
      <c r="D65" s="716"/>
      <c r="E65" s="716"/>
      <c r="F65" s="718"/>
      <c r="G65" s="352"/>
      <c r="H65" s="709"/>
      <c r="I65" s="486"/>
      <c r="J65" s="486"/>
      <c r="K65" s="710"/>
      <c r="L65" s="222"/>
    </row>
    <row r="66" spans="1:12" s="451" customFormat="1">
      <c r="A66" s="706">
        <v>49</v>
      </c>
      <c r="B66" s="222"/>
      <c r="C66" s="716"/>
      <c r="D66" s="716"/>
      <c r="E66" s="716"/>
      <c r="F66" s="718"/>
      <c r="G66" s="352"/>
      <c r="H66" s="709"/>
      <c r="I66" s="486"/>
      <c r="J66" s="486"/>
      <c r="K66" s="710"/>
      <c r="L66" s="222"/>
    </row>
    <row r="67" spans="1:12" s="451" customFormat="1">
      <c r="A67" s="706">
        <v>50</v>
      </c>
      <c r="B67" s="222"/>
      <c r="C67" s="716"/>
      <c r="D67" s="716"/>
      <c r="E67" s="716"/>
      <c r="F67" s="718"/>
      <c r="G67" s="352"/>
      <c r="H67" s="709"/>
      <c r="I67" s="486"/>
      <c r="J67" s="486"/>
      <c r="K67" s="710"/>
      <c r="L67" s="222"/>
    </row>
    <row r="68" spans="1:12" s="222" customFormat="1" ht="14.45" customHeight="1">
      <c r="A68" s="706">
        <v>51</v>
      </c>
      <c r="C68" s="433"/>
      <c r="D68" s="433"/>
      <c r="E68" s="433"/>
      <c r="F68" s="719">
        <f>SUM(F58:F67)</f>
        <v>0</v>
      </c>
      <c r="G68" s="726" t="s">
        <v>642</v>
      </c>
      <c r="H68" s="725"/>
      <c r="I68" s="719">
        <f>F68*H68</f>
        <v>0</v>
      </c>
      <c r="J68" s="486"/>
      <c r="K68" s="710"/>
    </row>
    <row r="69" spans="1:12" s="451" customFormat="1">
      <c r="A69" s="706">
        <v>52</v>
      </c>
      <c r="B69" s="222"/>
      <c r="C69" s="222"/>
      <c r="D69" s="222"/>
      <c r="E69" s="222"/>
      <c r="F69" s="722"/>
      <c r="G69" s="352"/>
      <c r="H69" s="727"/>
      <c r="I69" s="722"/>
      <c r="J69" s="722"/>
      <c r="K69" s="710"/>
      <c r="L69" s="222"/>
    </row>
    <row r="70" spans="1:12" s="451" customFormat="1">
      <c r="A70" s="706">
        <v>53</v>
      </c>
      <c r="B70" s="222" t="s">
        <v>277</v>
      </c>
      <c r="C70" s="222"/>
      <c r="D70" s="222"/>
      <c r="E70" s="222"/>
      <c r="F70" s="486"/>
      <c r="G70" s="352"/>
      <c r="H70" s="709"/>
      <c r="I70" s="486"/>
      <c r="J70" s="486"/>
      <c r="K70" s="710"/>
      <c r="L70" s="222"/>
    </row>
    <row r="71" spans="1:12" s="451" customFormat="1">
      <c r="A71" s="706">
        <v>54</v>
      </c>
      <c r="B71" s="222"/>
      <c r="C71" s="711" t="s">
        <v>1055</v>
      </c>
      <c r="D71" s="362">
        <v>-1853761.2388388999</v>
      </c>
      <c r="E71" s="271">
        <f>(D71/$D$14)*$E$14</f>
        <v>-2696225.6046295948</v>
      </c>
      <c r="F71" s="271">
        <f>D71-E71</f>
        <v>842464.36579069495</v>
      </c>
      <c r="G71" s="712"/>
      <c r="H71" s="713"/>
      <c r="I71" s="486"/>
      <c r="J71" s="486"/>
      <c r="K71" s="710"/>
      <c r="L71" s="222"/>
    </row>
    <row r="72" spans="1:12" s="451" customFormat="1">
      <c r="A72" s="706">
        <v>55</v>
      </c>
      <c r="B72" s="222"/>
      <c r="C72" s="711" t="s">
        <v>1054</v>
      </c>
      <c r="D72" s="362">
        <v>4078960.7994937645</v>
      </c>
      <c r="E72" s="271">
        <f t="shared" ref="E72:E79" si="2">(D72/$D$14)*$E$14</f>
        <v>5932694.1989379078</v>
      </c>
      <c r="F72" s="271">
        <f t="shared" ref="F72:F79" si="3">D72-E72</f>
        <v>-1853733.3994441433</v>
      </c>
      <c r="G72" s="439"/>
      <c r="H72" s="713"/>
      <c r="I72" s="486"/>
      <c r="J72" s="486"/>
      <c r="K72" s="710"/>
      <c r="L72" s="222"/>
    </row>
    <row r="73" spans="1:12" s="451" customFormat="1">
      <c r="A73" s="706">
        <v>56</v>
      </c>
      <c r="B73" s="222"/>
      <c r="C73" s="715" t="s">
        <v>1053</v>
      </c>
      <c r="D73" s="362">
        <v>761926.65115896007</v>
      </c>
      <c r="E73" s="271">
        <f t="shared" si="2"/>
        <v>1108193.4947518879</v>
      </c>
      <c r="F73" s="271">
        <f t="shared" si="3"/>
        <v>-346266.84359292779</v>
      </c>
      <c r="G73" s="439"/>
      <c r="H73" s="713"/>
      <c r="I73" s="486"/>
      <c r="J73" s="486"/>
      <c r="K73" s="710"/>
      <c r="L73" s="222"/>
    </row>
    <row r="74" spans="1:12" s="451" customFormat="1">
      <c r="A74" s="706">
        <v>57</v>
      </c>
      <c r="B74" s="222"/>
      <c r="C74" s="716" t="s">
        <v>1052</v>
      </c>
      <c r="D74" s="362">
        <v>-12623716.644477695</v>
      </c>
      <c r="E74" s="271">
        <f t="shared" si="2"/>
        <v>-18360718.375872497</v>
      </c>
      <c r="F74" s="271">
        <f t="shared" si="3"/>
        <v>5737001.7313948013</v>
      </c>
      <c r="G74" s="222"/>
      <c r="H74" s="222"/>
      <c r="I74" s="486"/>
      <c r="J74" s="486"/>
      <c r="K74" s="710"/>
      <c r="L74" s="222"/>
    </row>
    <row r="75" spans="1:12" s="451" customFormat="1">
      <c r="A75" s="706">
        <v>58</v>
      </c>
      <c r="B75" s="222"/>
      <c r="C75" s="716" t="s">
        <v>1051</v>
      </c>
      <c r="D75" s="362">
        <v>-2870861.2396694347</v>
      </c>
      <c r="E75" s="271">
        <f t="shared" si="2"/>
        <v>-4175559.0847199024</v>
      </c>
      <c r="F75" s="271">
        <f t="shared" si="3"/>
        <v>1304697.8450504676</v>
      </c>
      <c r="G75" s="352"/>
      <c r="H75" s="709"/>
      <c r="I75" s="486"/>
      <c r="J75" s="486"/>
      <c r="K75" s="710"/>
      <c r="L75" s="222"/>
    </row>
    <row r="76" spans="1:12" s="451" customFormat="1">
      <c r="A76" s="706">
        <v>59</v>
      </c>
      <c r="B76" s="222"/>
      <c r="C76" s="716" t="s">
        <v>1050</v>
      </c>
      <c r="D76" s="362">
        <v>49652.355497230004</v>
      </c>
      <c r="E76" s="271">
        <f t="shared" si="2"/>
        <v>72217.473004050014</v>
      </c>
      <c r="F76" s="271">
        <f t="shared" si="3"/>
        <v>-22565.11750682001</v>
      </c>
      <c r="G76" s="352"/>
      <c r="H76" s="709"/>
      <c r="I76" s="486"/>
      <c r="J76" s="486"/>
      <c r="K76" s="710"/>
      <c r="L76" s="222"/>
    </row>
    <row r="77" spans="1:12" s="451" customFormat="1">
      <c r="A77" s="706">
        <v>60</v>
      </c>
      <c r="B77" s="222"/>
      <c r="C77" s="716" t="s">
        <v>1049</v>
      </c>
      <c r="D77" s="362">
        <v>-65599.948811140712</v>
      </c>
      <c r="E77" s="271">
        <f t="shared" si="2"/>
        <v>-95412.644272232152</v>
      </c>
      <c r="F77" s="271">
        <f t="shared" si="3"/>
        <v>29812.69546109144</v>
      </c>
      <c r="G77" s="352"/>
      <c r="H77" s="709"/>
      <c r="I77" s="486"/>
      <c r="J77" s="486"/>
      <c r="K77" s="710"/>
      <c r="L77" s="222"/>
    </row>
    <row r="78" spans="1:12" s="451" customFormat="1">
      <c r="A78" s="706">
        <v>61</v>
      </c>
      <c r="B78" s="222"/>
      <c r="C78" s="716" t="s">
        <v>1048</v>
      </c>
      <c r="D78" s="362">
        <v>-484120.67070399999</v>
      </c>
      <c r="E78" s="271">
        <f t="shared" si="2"/>
        <v>-704135.20400294301</v>
      </c>
      <c r="F78" s="271">
        <f t="shared" si="3"/>
        <v>220014.53329894302</v>
      </c>
      <c r="G78" s="352"/>
      <c r="H78" s="709"/>
      <c r="I78" s="486"/>
      <c r="J78" s="486"/>
      <c r="K78" s="710"/>
      <c r="L78" s="222"/>
    </row>
    <row r="79" spans="1:12" s="451" customFormat="1">
      <c r="A79" s="706">
        <v>62</v>
      </c>
      <c r="B79" s="222"/>
      <c r="C79" s="716" t="s">
        <v>1047</v>
      </c>
      <c r="D79" s="362">
        <v>-58577783.938822135</v>
      </c>
      <c r="E79" s="271">
        <f t="shared" si="2"/>
        <v>-85199171.074068442</v>
      </c>
      <c r="F79" s="271">
        <f t="shared" si="3"/>
        <v>26621387.135246307</v>
      </c>
      <c r="G79" s="352"/>
      <c r="H79" s="709"/>
      <c r="I79" s="486"/>
      <c r="J79" s="486"/>
      <c r="K79" s="710"/>
      <c r="L79" s="222"/>
    </row>
    <row r="80" spans="1:12" s="451" customFormat="1">
      <c r="A80" s="706">
        <v>63</v>
      </c>
      <c r="B80" s="222"/>
      <c r="C80" s="716"/>
      <c r="D80" s="716"/>
      <c r="E80" s="716"/>
      <c r="F80" s="718"/>
      <c r="G80" s="352"/>
      <c r="H80" s="709"/>
      <c r="I80" s="486"/>
      <c r="J80" s="486"/>
      <c r="K80" s="710"/>
      <c r="L80" s="222"/>
    </row>
    <row r="81" spans="1:12" s="222" customFormat="1" ht="14.45" customHeight="1">
      <c r="A81" s="706">
        <v>64</v>
      </c>
      <c r="C81" s="433"/>
      <c r="D81" s="433"/>
      <c r="E81" s="433"/>
      <c r="F81" s="719">
        <f>SUM(F71:F80)</f>
        <v>32532812.945698414</v>
      </c>
      <c r="G81" s="720" t="s">
        <v>1150</v>
      </c>
      <c r="H81" s="721">
        <v>1</v>
      </c>
      <c r="I81" s="719">
        <f>F81*H81</f>
        <v>32532812.945698414</v>
      </c>
      <c r="J81" s="486"/>
      <c r="K81" s="710"/>
    </row>
    <row r="82" spans="1:12" s="222" customFormat="1">
      <c r="A82" s="706">
        <v>65</v>
      </c>
      <c r="C82" s="433"/>
      <c r="D82" s="433"/>
      <c r="E82" s="433"/>
      <c r="F82" s="722"/>
      <c r="G82" s="352"/>
      <c r="H82" s="709"/>
      <c r="I82" s="486"/>
      <c r="J82" s="486"/>
      <c r="K82" s="710"/>
    </row>
    <row r="83" spans="1:12" s="451" customFormat="1">
      <c r="A83" s="706">
        <v>66</v>
      </c>
      <c r="B83" s="222"/>
      <c r="C83" s="724" t="s">
        <v>1046</v>
      </c>
      <c r="D83" s="563">
        <v>-5574107.1100000003</v>
      </c>
      <c r="E83" s="271">
        <f>(D83/$D$12)*$E$12</f>
        <v>-9290178.5166666675</v>
      </c>
      <c r="F83" s="271">
        <f t="shared" ref="F83:F84" si="4">D83-E83</f>
        <v>3716071.4066666672</v>
      </c>
      <c r="G83" s="712"/>
      <c r="H83" s="713"/>
      <c r="I83" s="486"/>
      <c r="J83" s="486"/>
      <c r="K83" s="710"/>
      <c r="L83" s="222"/>
    </row>
    <row r="84" spans="1:12" s="451" customFormat="1">
      <c r="A84" s="706">
        <v>67</v>
      </c>
      <c r="B84" s="222"/>
      <c r="C84" s="723" t="s">
        <v>1045</v>
      </c>
      <c r="D84" s="563">
        <v>-2510.9207248099988</v>
      </c>
      <c r="E84" s="271">
        <f t="shared" ref="E84" si="5">(D84/$D$14)*$E$14</f>
        <v>-3652.0392203627057</v>
      </c>
      <c r="F84" s="271">
        <f t="shared" si="4"/>
        <v>1141.1184955527069</v>
      </c>
      <c r="G84" s="439"/>
      <c r="H84" s="713"/>
      <c r="I84" s="486"/>
      <c r="J84" s="486"/>
      <c r="K84" s="710"/>
      <c r="L84" s="222"/>
    </row>
    <row r="85" spans="1:12" s="451" customFormat="1">
      <c r="A85" s="706">
        <v>68</v>
      </c>
      <c r="B85" s="222"/>
      <c r="C85" s="716"/>
      <c r="D85" s="362"/>
      <c r="E85" s="362"/>
      <c r="F85" s="714"/>
      <c r="G85" s="439"/>
      <c r="H85" s="713"/>
      <c r="I85" s="486"/>
      <c r="J85" s="486"/>
      <c r="K85" s="710"/>
      <c r="L85" s="222"/>
    </row>
    <row r="86" spans="1:12" s="451" customFormat="1">
      <c r="A86" s="706">
        <v>69</v>
      </c>
      <c r="B86" s="222"/>
      <c r="C86" s="716"/>
      <c r="D86" s="362"/>
      <c r="E86" s="362"/>
      <c r="F86" s="717"/>
      <c r="G86" s="222"/>
      <c r="H86" s="222"/>
      <c r="I86" s="486"/>
      <c r="J86" s="486"/>
      <c r="K86" s="710"/>
      <c r="L86" s="222"/>
    </row>
    <row r="87" spans="1:12" s="451" customFormat="1">
      <c r="A87" s="706">
        <v>70</v>
      </c>
      <c r="B87" s="222"/>
      <c r="C87" s="716"/>
      <c r="D87" s="716"/>
      <c r="E87" s="716"/>
      <c r="F87" s="717"/>
      <c r="G87" s="352"/>
      <c r="H87" s="709"/>
      <c r="I87" s="486"/>
      <c r="J87" s="486"/>
      <c r="K87" s="710"/>
      <c r="L87" s="222"/>
    </row>
    <row r="88" spans="1:12" s="451" customFormat="1">
      <c r="A88" s="706">
        <v>71</v>
      </c>
      <c r="B88" s="222"/>
      <c r="C88" s="716"/>
      <c r="D88" s="716"/>
      <c r="E88" s="716"/>
      <c r="F88" s="717"/>
      <c r="G88" s="352"/>
      <c r="H88" s="709"/>
      <c r="I88" s="486"/>
      <c r="J88" s="486"/>
      <c r="K88" s="710"/>
      <c r="L88" s="222"/>
    </row>
    <row r="89" spans="1:12" s="451" customFormat="1">
      <c r="A89" s="706">
        <v>72</v>
      </c>
      <c r="B89" s="222"/>
      <c r="C89" s="716"/>
      <c r="D89" s="716"/>
      <c r="E89" s="716"/>
      <c r="F89" s="717"/>
      <c r="G89" s="352"/>
      <c r="H89" s="709"/>
      <c r="I89" s="486"/>
      <c r="J89" s="486"/>
      <c r="K89" s="710"/>
      <c r="L89" s="222"/>
    </row>
    <row r="90" spans="1:12" s="451" customFormat="1">
      <c r="A90" s="706">
        <v>73</v>
      </c>
      <c r="B90" s="222"/>
      <c r="C90" s="716"/>
      <c r="D90" s="716"/>
      <c r="E90" s="716"/>
      <c r="F90" s="717"/>
      <c r="G90" s="352"/>
      <c r="H90" s="709"/>
      <c r="I90" s="486"/>
      <c r="J90" s="486"/>
      <c r="K90" s="710"/>
      <c r="L90" s="222"/>
    </row>
    <row r="91" spans="1:12" s="451" customFormat="1">
      <c r="A91" s="706">
        <v>74</v>
      </c>
      <c r="B91" s="222"/>
      <c r="C91" s="716"/>
      <c r="D91" s="716"/>
      <c r="E91" s="716"/>
      <c r="F91" s="718"/>
      <c r="G91" s="352"/>
      <c r="H91" s="709"/>
      <c r="I91" s="486"/>
      <c r="J91" s="486"/>
      <c r="K91" s="710"/>
      <c r="L91" s="222"/>
    </row>
    <row r="92" spans="1:12" s="451" customFormat="1">
      <c r="A92" s="706">
        <v>75</v>
      </c>
      <c r="B92" s="222"/>
      <c r="C92" s="716"/>
      <c r="D92" s="716"/>
      <c r="E92" s="716"/>
      <c r="F92" s="718"/>
      <c r="G92" s="352"/>
      <c r="H92" s="709"/>
      <c r="I92" s="486"/>
      <c r="J92" s="486"/>
      <c r="K92" s="710"/>
      <c r="L92" s="222"/>
    </row>
    <row r="93" spans="1:12" s="222" customFormat="1" ht="14.45" customHeight="1">
      <c r="A93" s="706">
        <v>76</v>
      </c>
      <c r="C93" s="433"/>
      <c r="D93" s="433"/>
      <c r="E93" s="433"/>
      <c r="F93" s="719">
        <f>SUM(F83:F92)</f>
        <v>3717212.52516222</v>
      </c>
      <c r="G93" s="720" t="s">
        <v>640</v>
      </c>
      <c r="H93" s="725">
        <v>0.1140949301726389</v>
      </c>
      <c r="I93" s="719">
        <f>F93*H93</f>
        <v>424115.10349524219</v>
      </c>
      <c r="J93" s="486"/>
      <c r="K93" s="710"/>
    </row>
    <row r="94" spans="1:12" s="222" customFormat="1">
      <c r="A94" s="706">
        <v>77</v>
      </c>
      <c r="C94" s="433"/>
      <c r="D94" s="433"/>
      <c r="E94" s="433"/>
      <c r="F94" s="722"/>
      <c r="G94" s="352"/>
      <c r="H94" s="709"/>
      <c r="I94" s="486"/>
      <c r="J94" s="486"/>
      <c r="K94" s="710"/>
    </row>
    <row r="95" spans="1:12" s="451" customFormat="1">
      <c r="A95" s="706">
        <v>78</v>
      </c>
      <c r="B95" s="222"/>
      <c r="C95" s="711"/>
      <c r="D95" s="728"/>
      <c r="E95" s="271"/>
      <c r="F95" s="271"/>
      <c r="G95" s="712"/>
      <c r="H95" s="713"/>
      <c r="I95" s="486"/>
      <c r="J95" s="486"/>
      <c r="K95" s="710"/>
      <c r="L95" s="222"/>
    </row>
    <row r="96" spans="1:12" s="451" customFormat="1">
      <c r="A96" s="706">
        <v>79</v>
      </c>
      <c r="B96" s="222"/>
      <c r="C96" s="729"/>
      <c r="D96" s="728"/>
      <c r="E96" s="728"/>
      <c r="F96" s="728"/>
      <c r="G96" s="712"/>
      <c r="H96" s="713"/>
      <c r="I96" s="486"/>
      <c r="J96" s="486"/>
      <c r="K96" s="710"/>
      <c r="L96" s="222"/>
    </row>
    <row r="97" spans="1:12" s="451" customFormat="1">
      <c r="A97" s="706">
        <v>80</v>
      </c>
      <c r="B97" s="222"/>
      <c r="C97" s="729"/>
      <c r="D97" s="728"/>
      <c r="E97" s="728"/>
      <c r="F97" s="728"/>
      <c r="G97" s="712"/>
      <c r="H97" s="713"/>
      <c r="I97" s="486"/>
      <c r="J97" s="486"/>
      <c r="K97" s="710"/>
      <c r="L97" s="222"/>
    </row>
    <row r="98" spans="1:12" s="451" customFormat="1">
      <c r="A98" s="706">
        <v>81</v>
      </c>
      <c r="B98" s="222"/>
      <c r="C98" s="729"/>
      <c r="D98" s="728"/>
      <c r="E98" s="728"/>
      <c r="F98" s="714"/>
      <c r="G98" s="712"/>
      <c r="H98" s="713"/>
      <c r="I98" s="486"/>
      <c r="J98" s="486"/>
      <c r="K98" s="710"/>
      <c r="L98" s="222"/>
    </row>
    <row r="99" spans="1:12" s="451" customFormat="1">
      <c r="A99" s="706">
        <v>82</v>
      </c>
      <c r="B99" s="222"/>
      <c r="C99" s="729"/>
      <c r="D99" s="728"/>
      <c r="E99" s="728"/>
      <c r="F99" s="714"/>
      <c r="G99" s="712"/>
      <c r="H99" s="713"/>
      <c r="I99" s="486"/>
      <c r="J99" s="486"/>
      <c r="K99" s="710"/>
      <c r="L99" s="222"/>
    </row>
    <row r="100" spans="1:12" s="451" customFormat="1">
      <c r="A100" s="706">
        <v>83</v>
      </c>
      <c r="B100" s="222"/>
      <c r="C100" s="729"/>
      <c r="D100" s="728"/>
      <c r="E100" s="728"/>
      <c r="F100" s="714"/>
      <c r="G100" s="712"/>
      <c r="H100" s="713"/>
      <c r="I100" s="486"/>
      <c r="J100" s="486"/>
      <c r="K100" s="710"/>
      <c r="L100" s="222"/>
    </row>
    <row r="101" spans="1:12" s="451" customFormat="1">
      <c r="A101" s="706">
        <v>84</v>
      </c>
      <c r="B101" s="222"/>
      <c r="C101" s="729"/>
      <c r="D101" s="728"/>
      <c r="E101" s="728"/>
      <c r="F101" s="714"/>
      <c r="G101" s="712"/>
      <c r="H101" s="713"/>
      <c r="I101" s="486"/>
      <c r="J101" s="486"/>
      <c r="K101" s="710"/>
      <c r="L101" s="222"/>
    </row>
    <row r="102" spans="1:12" s="451" customFormat="1">
      <c r="A102" s="706">
        <v>85</v>
      </c>
      <c r="B102" s="222"/>
      <c r="C102" s="729"/>
      <c r="D102" s="728"/>
      <c r="E102" s="728"/>
      <c r="F102" s="714"/>
      <c r="G102" s="712"/>
      <c r="H102" s="713"/>
      <c r="I102" s="486"/>
      <c r="J102" s="486"/>
      <c r="K102" s="710"/>
      <c r="L102" s="222"/>
    </row>
    <row r="103" spans="1:12" s="451" customFormat="1">
      <c r="A103" s="706">
        <v>86</v>
      </c>
      <c r="B103" s="222"/>
      <c r="C103" s="729"/>
      <c r="D103" s="728"/>
      <c r="E103" s="728"/>
      <c r="F103" s="714"/>
      <c r="G103" s="712"/>
      <c r="H103" s="713"/>
      <c r="I103" s="486"/>
      <c r="J103" s="486"/>
      <c r="K103" s="710"/>
      <c r="L103" s="222"/>
    </row>
    <row r="104" spans="1:12" s="451" customFormat="1">
      <c r="A104" s="706">
        <v>87</v>
      </c>
      <c r="B104" s="222"/>
      <c r="C104" s="729"/>
      <c r="D104" s="728"/>
      <c r="E104" s="728"/>
      <c r="F104" s="714"/>
      <c r="G104" s="712"/>
      <c r="H104" s="713"/>
      <c r="I104" s="486"/>
      <c r="J104" s="486"/>
      <c r="K104" s="710"/>
      <c r="L104" s="222"/>
    </row>
    <row r="105" spans="1:12" s="451" customFormat="1">
      <c r="A105" s="706">
        <v>88</v>
      </c>
      <c r="B105" s="222"/>
      <c r="C105" s="433"/>
      <c r="D105" s="486"/>
      <c r="E105" s="486"/>
      <c r="F105" s="719">
        <f>SUM(F95:F104)</f>
        <v>0</v>
      </c>
      <c r="G105" s="726" t="s">
        <v>641</v>
      </c>
      <c r="H105" s="725"/>
      <c r="I105" s="719">
        <f>F105*H105</f>
        <v>0</v>
      </c>
      <c r="J105" s="486"/>
      <c r="K105" s="710"/>
      <c r="L105" s="222"/>
    </row>
    <row r="106" spans="1:12" s="222" customFormat="1" ht="14.45" customHeight="1">
      <c r="A106" s="706">
        <v>89</v>
      </c>
      <c r="C106" s="433"/>
      <c r="D106" s="433"/>
      <c r="E106" s="433"/>
      <c r="J106" s="486"/>
      <c r="K106" s="710"/>
    </row>
    <row r="107" spans="1:12" s="451" customFormat="1">
      <c r="A107" s="706">
        <v>90</v>
      </c>
      <c r="B107" s="222"/>
      <c r="C107" s="716" t="s">
        <v>1044</v>
      </c>
      <c r="D107" s="563">
        <v>-896900.12307582865</v>
      </c>
      <c r="E107" s="271">
        <f>(D107/$D$12)*$E$12</f>
        <v>-1494833.5384597143</v>
      </c>
      <c r="F107" s="271">
        <f>D107-E107</f>
        <v>597933.41538388561</v>
      </c>
      <c r="G107" s="352"/>
      <c r="H107" s="709"/>
      <c r="I107" s="486"/>
      <c r="J107" s="486"/>
      <c r="K107" s="710"/>
      <c r="L107" s="222"/>
    </row>
    <row r="108" spans="1:12" s="451" customFormat="1">
      <c r="A108" s="706">
        <v>91</v>
      </c>
      <c r="B108" s="222"/>
      <c r="C108" s="716"/>
      <c r="D108" s="716"/>
      <c r="E108" s="716"/>
      <c r="F108" s="718"/>
      <c r="G108" s="352"/>
      <c r="H108" s="709"/>
      <c r="I108" s="486"/>
      <c r="J108" s="486"/>
      <c r="K108" s="710"/>
      <c r="L108" s="222"/>
    </row>
    <row r="109" spans="1:12" s="451" customFormat="1">
      <c r="A109" s="706">
        <v>92</v>
      </c>
      <c r="B109" s="222"/>
      <c r="C109" s="716"/>
      <c r="D109" s="716"/>
      <c r="E109" s="716"/>
      <c r="F109" s="718"/>
      <c r="G109" s="352"/>
      <c r="H109" s="709"/>
      <c r="I109" s="486"/>
      <c r="J109" s="486"/>
      <c r="K109" s="710"/>
      <c r="L109" s="222"/>
    </row>
    <row r="110" spans="1:12" s="451" customFormat="1">
      <c r="A110" s="706">
        <v>93</v>
      </c>
      <c r="B110" s="222"/>
      <c r="C110" s="716"/>
      <c r="D110" s="716"/>
      <c r="E110" s="716"/>
      <c r="F110" s="718"/>
      <c r="G110" s="352"/>
      <c r="H110" s="709"/>
      <c r="I110" s="486"/>
      <c r="J110" s="486"/>
      <c r="K110" s="710"/>
      <c r="L110" s="222"/>
    </row>
    <row r="111" spans="1:12" s="451" customFormat="1">
      <c r="A111" s="706">
        <v>94</v>
      </c>
      <c r="B111" s="222"/>
      <c r="C111" s="716"/>
      <c r="D111" s="716"/>
      <c r="E111" s="716"/>
      <c r="F111" s="718"/>
      <c r="G111" s="352"/>
      <c r="H111" s="709"/>
      <c r="I111" s="486"/>
      <c r="J111" s="486"/>
      <c r="K111" s="710"/>
      <c r="L111" s="222"/>
    </row>
    <row r="112" spans="1:12" s="451" customFormat="1">
      <c r="A112" s="706">
        <v>95</v>
      </c>
      <c r="B112" s="222"/>
      <c r="C112" s="716"/>
      <c r="D112" s="716"/>
      <c r="E112" s="716"/>
      <c r="F112" s="718"/>
      <c r="G112" s="352"/>
      <c r="H112" s="709"/>
      <c r="I112" s="486"/>
      <c r="J112" s="486"/>
      <c r="K112" s="710"/>
      <c r="L112" s="222"/>
    </row>
    <row r="113" spans="1:12" s="451" customFormat="1">
      <c r="A113" s="706">
        <v>96</v>
      </c>
      <c r="B113" s="222"/>
      <c r="C113" s="716"/>
      <c r="D113" s="716"/>
      <c r="E113" s="716"/>
      <c r="F113" s="718"/>
      <c r="G113" s="352"/>
      <c r="H113" s="709"/>
      <c r="I113" s="486"/>
      <c r="J113" s="486"/>
      <c r="K113" s="710"/>
      <c r="L113" s="222"/>
    </row>
    <row r="114" spans="1:12" s="451" customFormat="1">
      <c r="A114" s="706">
        <v>97</v>
      </c>
      <c r="B114" s="222"/>
      <c r="C114" s="716"/>
      <c r="D114" s="716"/>
      <c r="E114" s="716"/>
      <c r="F114" s="718"/>
      <c r="G114" s="352"/>
      <c r="H114" s="709"/>
      <c r="I114" s="486"/>
      <c r="J114" s="486"/>
      <c r="K114" s="710"/>
      <c r="L114" s="222"/>
    </row>
    <row r="115" spans="1:12" s="451" customFormat="1">
      <c r="A115" s="706">
        <v>98</v>
      </c>
      <c r="B115" s="222"/>
      <c r="C115" s="716"/>
      <c r="D115" s="716"/>
      <c r="E115" s="716"/>
      <c r="F115" s="718"/>
      <c r="G115" s="352"/>
      <c r="H115" s="709"/>
      <c r="I115" s="486"/>
      <c r="J115" s="486"/>
      <c r="K115" s="710"/>
      <c r="L115" s="222"/>
    </row>
    <row r="116" spans="1:12" s="451" customFormat="1">
      <c r="A116" s="706">
        <v>99</v>
      </c>
      <c r="B116" s="222"/>
      <c r="C116" s="716"/>
      <c r="D116" s="716"/>
      <c r="E116" s="716"/>
      <c r="F116" s="718"/>
      <c r="G116" s="352"/>
      <c r="H116" s="709"/>
      <c r="I116" s="486"/>
      <c r="J116" s="486"/>
      <c r="K116" s="710"/>
      <c r="L116" s="222"/>
    </row>
    <row r="117" spans="1:12" s="222" customFormat="1" ht="14.45" customHeight="1">
      <c r="A117" s="706">
        <v>100</v>
      </c>
      <c r="C117" s="433"/>
      <c r="D117" s="433"/>
      <c r="E117" s="433"/>
      <c r="F117" s="719">
        <f>SUM(F107:F116)</f>
        <v>597933.41538388561</v>
      </c>
      <c r="G117" s="726" t="s">
        <v>642</v>
      </c>
      <c r="H117" s="725">
        <v>0.33300669964056284</v>
      </c>
      <c r="I117" s="719">
        <f>F117*H117</f>
        <v>199115.8332617975</v>
      </c>
      <c r="J117" s="486"/>
      <c r="K117" s="710"/>
    </row>
    <row r="118" spans="1:12" s="451" customFormat="1">
      <c r="A118" s="706">
        <v>101</v>
      </c>
      <c r="B118" s="222"/>
      <c r="C118" s="222"/>
      <c r="D118" s="222"/>
      <c r="E118" s="222"/>
      <c r="F118" s="486"/>
      <c r="G118" s="352"/>
      <c r="H118" s="709"/>
      <c r="I118" s="486"/>
      <c r="J118" s="486"/>
      <c r="K118" s="710"/>
      <c r="L118" s="222"/>
    </row>
    <row r="119" spans="1:12" s="451" customFormat="1">
      <c r="A119" s="706">
        <v>102</v>
      </c>
      <c r="B119" s="222" t="s">
        <v>276</v>
      </c>
      <c r="C119" s="222"/>
      <c r="D119" s="222"/>
      <c r="E119" s="222"/>
      <c r="F119" s="486"/>
      <c r="G119" s="352"/>
      <c r="H119" s="709"/>
      <c r="I119" s="486"/>
      <c r="J119" s="486"/>
      <c r="K119" s="710"/>
      <c r="L119" s="222"/>
    </row>
    <row r="120" spans="1:12" s="451" customFormat="1">
      <c r="A120" s="706">
        <v>103</v>
      </c>
      <c r="B120" s="222"/>
      <c r="C120" s="711"/>
      <c r="D120" s="362"/>
      <c r="E120" s="271"/>
      <c r="F120" s="271"/>
      <c r="G120" s="712"/>
      <c r="H120" s="713"/>
      <c r="I120" s="486"/>
      <c r="J120" s="486"/>
      <c r="K120" s="710"/>
      <c r="L120" s="222"/>
    </row>
    <row r="121" spans="1:12" s="451" customFormat="1">
      <c r="A121" s="706">
        <v>104</v>
      </c>
      <c r="B121" s="222"/>
      <c r="C121" s="711"/>
      <c r="D121" s="362"/>
      <c r="E121" s="362"/>
      <c r="F121" s="714"/>
      <c r="G121" s="439"/>
      <c r="H121" s="713"/>
      <c r="I121" s="486"/>
      <c r="J121" s="486"/>
      <c r="K121" s="710"/>
      <c r="L121" s="222"/>
    </row>
    <row r="122" spans="1:12" s="451" customFormat="1">
      <c r="A122" s="706">
        <v>105</v>
      </c>
      <c r="B122" s="222"/>
      <c r="C122" s="715"/>
      <c r="D122" s="362"/>
      <c r="E122" s="362"/>
      <c r="F122" s="714"/>
      <c r="G122" s="439"/>
      <c r="H122" s="713"/>
      <c r="I122" s="486"/>
      <c r="J122" s="486"/>
      <c r="K122" s="710"/>
      <c r="L122" s="222"/>
    </row>
    <row r="123" spans="1:12" s="451" customFormat="1">
      <c r="A123" s="706">
        <v>106</v>
      </c>
      <c r="B123" s="222"/>
      <c r="C123" s="716"/>
      <c r="D123" s="362"/>
      <c r="E123" s="362"/>
      <c r="F123" s="717"/>
      <c r="G123" s="222"/>
      <c r="H123" s="222"/>
      <c r="I123" s="486"/>
      <c r="J123" s="486"/>
      <c r="K123" s="710"/>
      <c r="L123" s="222"/>
    </row>
    <row r="124" spans="1:12" s="451" customFormat="1">
      <c r="A124" s="706">
        <v>107</v>
      </c>
      <c r="B124" s="222"/>
      <c r="C124" s="716"/>
      <c r="D124" s="716"/>
      <c r="E124" s="716"/>
      <c r="F124" s="717"/>
      <c r="G124" s="352"/>
      <c r="H124" s="709"/>
      <c r="I124" s="486"/>
      <c r="J124" s="486"/>
      <c r="K124" s="710"/>
      <c r="L124" s="222"/>
    </row>
    <row r="125" spans="1:12" s="451" customFormat="1">
      <c r="A125" s="706">
        <v>108</v>
      </c>
      <c r="B125" s="222"/>
      <c r="C125" s="716"/>
      <c r="D125" s="716"/>
      <c r="E125" s="716"/>
      <c r="F125" s="717"/>
      <c r="G125" s="352"/>
      <c r="H125" s="709"/>
      <c r="I125" s="486"/>
      <c r="J125" s="486"/>
      <c r="K125" s="710"/>
      <c r="L125" s="222"/>
    </row>
    <row r="126" spans="1:12" s="451" customFormat="1">
      <c r="A126" s="706">
        <v>109</v>
      </c>
      <c r="B126" s="222"/>
      <c r="C126" s="716"/>
      <c r="D126" s="716"/>
      <c r="E126" s="716"/>
      <c r="F126" s="717"/>
      <c r="G126" s="352"/>
      <c r="H126" s="709"/>
      <c r="I126" s="486"/>
      <c r="J126" s="486"/>
      <c r="K126" s="710"/>
      <c r="L126" s="222"/>
    </row>
    <row r="127" spans="1:12" s="451" customFormat="1">
      <c r="A127" s="706">
        <v>110</v>
      </c>
      <c r="B127" s="222"/>
      <c r="C127" s="716"/>
      <c r="D127" s="716"/>
      <c r="E127" s="716"/>
      <c r="F127" s="717"/>
      <c r="G127" s="352"/>
      <c r="H127" s="709"/>
      <c r="I127" s="486"/>
      <c r="J127" s="486"/>
      <c r="K127" s="710"/>
      <c r="L127" s="222"/>
    </row>
    <row r="128" spans="1:12" s="451" customFormat="1">
      <c r="A128" s="706">
        <v>111</v>
      </c>
      <c r="B128" s="222"/>
      <c r="C128" s="716"/>
      <c r="D128" s="716"/>
      <c r="E128" s="716"/>
      <c r="F128" s="718"/>
      <c r="G128" s="352"/>
      <c r="H128" s="709"/>
      <c r="I128" s="486"/>
      <c r="J128" s="486"/>
      <c r="K128" s="710"/>
      <c r="L128" s="222"/>
    </row>
    <row r="129" spans="1:12" s="451" customFormat="1">
      <c r="A129" s="706">
        <v>112</v>
      </c>
      <c r="B129" s="222"/>
      <c r="C129" s="716"/>
      <c r="D129" s="716"/>
      <c r="E129" s="716"/>
      <c r="F129" s="718"/>
      <c r="G129" s="352"/>
      <c r="H129" s="709"/>
      <c r="I129" s="486"/>
      <c r="J129" s="486"/>
      <c r="K129" s="710"/>
      <c r="L129" s="222"/>
    </row>
    <row r="130" spans="1:12" s="222" customFormat="1" ht="14.45" customHeight="1">
      <c r="A130" s="706">
        <v>113</v>
      </c>
      <c r="C130" s="433"/>
      <c r="D130" s="433"/>
      <c r="E130" s="433"/>
      <c r="F130" s="719">
        <f>SUM(F120:F129)</f>
        <v>0</v>
      </c>
      <c r="G130" s="720" t="s">
        <v>1150</v>
      </c>
      <c r="H130" s="721">
        <v>1</v>
      </c>
      <c r="I130" s="719">
        <f>F130*H130</f>
        <v>0</v>
      </c>
      <c r="J130" s="486"/>
      <c r="K130" s="710"/>
    </row>
    <row r="131" spans="1:12" s="222" customFormat="1">
      <c r="A131" s="706">
        <v>114</v>
      </c>
      <c r="C131" s="433"/>
      <c r="D131" s="433"/>
      <c r="E131" s="433"/>
      <c r="F131" s="722"/>
      <c r="G131" s="352"/>
      <c r="H131" s="709"/>
      <c r="I131" s="486"/>
      <c r="J131" s="486"/>
      <c r="K131" s="710"/>
    </row>
    <row r="132" spans="1:12" s="451" customFormat="1">
      <c r="A132" s="706">
        <v>115</v>
      </c>
      <c r="B132" s="222"/>
      <c r="C132" s="383" t="s">
        <v>1043</v>
      </c>
      <c r="D132" s="728">
        <v>-9023918</v>
      </c>
      <c r="E132" s="271">
        <f>(D132/$D$14)*$E$14</f>
        <v>-13124947.40742193</v>
      </c>
      <c r="F132" s="271">
        <f>D132-E132</f>
        <v>4101029.4074219298</v>
      </c>
      <c r="G132" s="439"/>
      <c r="H132" s="713"/>
      <c r="I132" s="486"/>
      <c r="J132" s="486"/>
      <c r="K132" s="710"/>
      <c r="L132" s="222"/>
    </row>
    <row r="133" spans="1:12" s="451" customFormat="1">
      <c r="A133" s="706">
        <v>116</v>
      </c>
      <c r="B133" s="222"/>
      <c r="C133" s="383"/>
      <c r="D133" s="728"/>
      <c r="E133" s="728"/>
      <c r="F133" s="714"/>
      <c r="G133" s="439"/>
      <c r="H133" s="713"/>
      <c r="I133" s="486"/>
      <c r="J133" s="486"/>
      <c r="K133" s="710"/>
      <c r="L133" s="222"/>
    </row>
    <row r="134" spans="1:12" s="451" customFormat="1">
      <c r="A134" s="706">
        <v>117</v>
      </c>
      <c r="B134" s="222"/>
      <c r="C134" s="716"/>
      <c r="D134" s="716"/>
      <c r="E134" s="716"/>
      <c r="F134" s="717"/>
      <c r="G134" s="439"/>
      <c r="H134" s="713"/>
      <c r="I134" s="486"/>
      <c r="J134" s="486"/>
      <c r="K134" s="710"/>
      <c r="L134" s="222"/>
    </row>
    <row r="135" spans="1:12" s="451" customFormat="1">
      <c r="A135" s="706">
        <v>118</v>
      </c>
      <c r="B135" s="222"/>
      <c r="C135" s="716"/>
      <c r="D135" s="716"/>
      <c r="E135" s="716"/>
      <c r="F135" s="717"/>
      <c r="G135" s="222"/>
      <c r="H135" s="222"/>
      <c r="I135" s="486"/>
      <c r="J135" s="486"/>
      <c r="K135" s="710"/>
      <c r="L135" s="222"/>
    </row>
    <row r="136" spans="1:12" s="451" customFormat="1">
      <c r="A136" s="706">
        <v>119</v>
      </c>
      <c r="B136" s="222"/>
      <c r="C136" s="716"/>
      <c r="D136" s="716"/>
      <c r="E136" s="716"/>
      <c r="F136" s="717"/>
      <c r="G136" s="352"/>
      <c r="H136" s="709"/>
      <c r="I136" s="486"/>
      <c r="J136" s="486"/>
      <c r="K136" s="710"/>
      <c r="L136" s="222"/>
    </row>
    <row r="137" spans="1:12" s="451" customFormat="1">
      <c r="A137" s="706">
        <v>120</v>
      </c>
      <c r="B137" s="222"/>
      <c r="C137" s="716"/>
      <c r="D137" s="716"/>
      <c r="E137" s="716"/>
      <c r="F137" s="717"/>
      <c r="G137" s="352"/>
      <c r="H137" s="709"/>
      <c r="I137" s="486"/>
      <c r="J137" s="486"/>
      <c r="K137" s="710"/>
      <c r="L137" s="222"/>
    </row>
    <row r="138" spans="1:12" s="451" customFormat="1">
      <c r="A138" s="706">
        <v>121</v>
      </c>
      <c r="B138" s="222"/>
      <c r="C138" s="716"/>
      <c r="D138" s="716"/>
      <c r="E138" s="716"/>
      <c r="F138" s="717"/>
      <c r="G138" s="352"/>
      <c r="H138" s="709"/>
      <c r="I138" s="486"/>
      <c r="J138" s="486"/>
      <c r="K138" s="710"/>
      <c r="L138" s="222"/>
    </row>
    <row r="139" spans="1:12" s="451" customFormat="1">
      <c r="A139" s="706">
        <v>122</v>
      </c>
      <c r="B139" s="222"/>
      <c r="C139" s="716"/>
      <c r="D139" s="716"/>
      <c r="E139" s="716"/>
      <c r="F139" s="717"/>
      <c r="G139" s="352"/>
      <c r="H139" s="709"/>
      <c r="I139" s="486"/>
      <c r="J139" s="486"/>
      <c r="K139" s="710"/>
      <c r="L139" s="222"/>
    </row>
    <row r="140" spans="1:12" s="451" customFormat="1">
      <c r="A140" s="706">
        <v>123</v>
      </c>
      <c r="B140" s="222"/>
      <c r="C140" s="716"/>
      <c r="D140" s="716"/>
      <c r="E140" s="716"/>
      <c r="F140" s="718"/>
      <c r="G140" s="352"/>
      <c r="H140" s="709"/>
      <c r="I140" s="486"/>
      <c r="J140" s="486"/>
      <c r="K140" s="710"/>
      <c r="L140" s="222"/>
    </row>
    <row r="141" spans="1:12" s="451" customFormat="1">
      <c r="A141" s="706">
        <v>124</v>
      </c>
      <c r="B141" s="222"/>
      <c r="C141" s="716"/>
      <c r="D141" s="716"/>
      <c r="E141" s="716"/>
      <c r="F141" s="718"/>
      <c r="G141" s="352"/>
      <c r="H141" s="709"/>
      <c r="I141" s="486"/>
      <c r="J141" s="486"/>
      <c r="K141" s="710"/>
      <c r="L141" s="222"/>
    </row>
    <row r="142" spans="1:12" s="222" customFormat="1" ht="14.45" customHeight="1">
      <c r="A142" s="706">
        <v>125</v>
      </c>
      <c r="C142" s="433"/>
      <c r="D142" s="433"/>
      <c r="E142" s="433"/>
      <c r="F142" s="719">
        <f>SUM(F132:F141)</f>
        <v>4101029.4074219298</v>
      </c>
      <c r="G142" s="720" t="s">
        <v>640</v>
      </c>
      <c r="H142" s="725">
        <v>0.1140949301726389</v>
      </c>
      <c r="I142" s="719">
        <f>F142*H142</f>
        <v>467906.66387574375</v>
      </c>
      <c r="J142" s="486"/>
      <c r="K142" s="710"/>
    </row>
    <row r="143" spans="1:12" s="222" customFormat="1" ht="14.45" customHeight="1">
      <c r="A143" s="706">
        <v>126</v>
      </c>
      <c r="C143" s="433"/>
      <c r="D143" s="433"/>
      <c r="E143" s="433"/>
      <c r="F143" s="722"/>
      <c r="G143" s="439"/>
      <c r="H143" s="713"/>
      <c r="I143" s="722"/>
      <c r="J143" s="486"/>
      <c r="K143" s="710"/>
    </row>
    <row r="144" spans="1:12" s="451" customFormat="1">
      <c r="A144" s="706">
        <v>127</v>
      </c>
      <c r="B144" s="222"/>
      <c r="C144" s="383" t="s">
        <v>1042</v>
      </c>
      <c r="D144" s="728">
        <v>-309027.28385602008</v>
      </c>
      <c r="E144" s="271">
        <f>(D144/$D$14)*$E$14</f>
        <v>-449468.49562116049</v>
      </c>
      <c r="F144" s="271">
        <f>D144-E144</f>
        <v>140441.21176514041</v>
      </c>
      <c r="G144" s="439"/>
      <c r="H144" s="713"/>
      <c r="I144" s="486"/>
      <c r="J144" s="486"/>
      <c r="K144" s="710"/>
      <c r="L144" s="222"/>
    </row>
    <row r="145" spans="1:12" s="451" customFormat="1">
      <c r="A145" s="706">
        <v>128</v>
      </c>
      <c r="B145" s="222"/>
      <c r="C145" s="716"/>
      <c r="D145" s="716"/>
      <c r="E145" s="716"/>
      <c r="F145" s="718"/>
      <c r="G145" s="352"/>
      <c r="H145" s="709"/>
      <c r="I145" s="486"/>
      <c r="J145" s="486"/>
      <c r="K145" s="710"/>
      <c r="L145" s="222"/>
    </row>
    <row r="146" spans="1:12" s="451" customFormat="1">
      <c r="A146" s="706">
        <v>129</v>
      </c>
      <c r="B146" s="222"/>
      <c r="C146" s="716"/>
      <c r="D146" s="716"/>
      <c r="E146" s="716"/>
      <c r="F146" s="718"/>
      <c r="G146" s="352"/>
      <c r="H146" s="709"/>
      <c r="I146" s="486"/>
      <c r="J146" s="486"/>
      <c r="K146" s="710"/>
      <c r="L146" s="222"/>
    </row>
    <row r="147" spans="1:12" s="451" customFormat="1">
      <c r="A147" s="706">
        <v>130</v>
      </c>
      <c r="B147" s="222"/>
      <c r="C147" s="716"/>
      <c r="D147" s="716"/>
      <c r="E147" s="716"/>
      <c r="F147" s="718"/>
      <c r="G147" s="352"/>
      <c r="H147" s="709"/>
      <c r="I147" s="486"/>
      <c r="J147" s="486"/>
      <c r="K147" s="710"/>
      <c r="L147" s="222"/>
    </row>
    <row r="148" spans="1:12" s="451" customFormat="1">
      <c r="A148" s="706">
        <v>131</v>
      </c>
      <c r="B148" s="222"/>
      <c r="C148" s="716"/>
      <c r="D148" s="716"/>
      <c r="E148" s="716"/>
      <c r="F148" s="718"/>
      <c r="G148" s="352"/>
      <c r="H148" s="709"/>
      <c r="I148" s="486"/>
      <c r="J148" s="486"/>
      <c r="K148" s="710"/>
      <c r="L148" s="222"/>
    </row>
    <row r="149" spans="1:12" s="451" customFormat="1">
      <c r="A149" s="706">
        <v>132</v>
      </c>
      <c r="B149" s="222"/>
      <c r="C149" s="716"/>
      <c r="D149" s="716"/>
      <c r="E149" s="716"/>
      <c r="F149" s="718"/>
      <c r="G149" s="352"/>
      <c r="H149" s="709"/>
      <c r="I149" s="486"/>
      <c r="J149" s="486"/>
      <c r="K149" s="710"/>
      <c r="L149" s="222"/>
    </row>
    <row r="150" spans="1:12" s="451" customFormat="1">
      <c r="A150" s="706">
        <v>133</v>
      </c>
      <c r="B150" s="222"/>
      <c r="C150" s="716"/>
      <c r="D150" s="716"/>
      <c r="E150" s="716"/>
      <c r="F150" s="718"/>
      <c r="G150" s="352"/>
      <c r="H150" s="709"/>
      <c r="I150" s="486"/>
      <c r="J150" s="486"/>
      <c r="K150" s="710"/>
      <c r="L150" s="222"/>
    </row>
    <row r="151" spans="1:12" s="451" customFormat="1">
      <c r="A151" s="706">
        <v>134</v>
      </c>
      <c r="B151" s="222"/>
      <c r="C151" s="716"/>
      <c r="D151" s="716"/>
      <c r="E151" s="716"/>
      <c r="F151" s="718"/>
      <c r="G151" s="352"/>
      <c r="H151" s="709"/>
      <c r="I151" s="486"/>
      <c r="J151" s="486"/>
      <c r="K151" s="710"/>
      <c r="L151" s="222"/>
    </row>
    <row r="152" spans="1:12" s="451" customFormat="1">
      <c r="A152" s="706">
        <v>135</v>
      </c>
      <c r="B152" s="222"/>
      <c r="C152" s="716"/>
      <c r="D152" s="716"/>
      <c r="E152" s="716"/>
      <c r="F152" s="718"/>
      <c r="G152" s="352"/>
      <c r="H152" s="709"/>
      <c r="I152" s="486"/>
      <c r="J152" s="486"/>
      <c r="K152" s="710"/>
      <c r="L152" s="222"/>
    </row>
    <row r="153" spans="1:12" s="451" customFormat="1">
      <c r="A153" s="706">
        <v>136</v>
      </c>
      <c r="B153" s="222"/>
      <c r="C153" s="716"/>
      <c r="D153" s="716"/>
      <c r="E153" s="716"/>
      <c r="F153" s="718"/>
      <c r="G153" s="352"/>
      <c r="H153" s="709"/>
      <c r="I153" s="486"/>
      <c r="J153" s="486"/>
      <c r="K153" s="710"/>
      <c r="L153" s="222"/>
    </row>
    <row r="154" spans="1:12" s="222" customFormat="1" ht="14.45" customHeight="1">
      <c r="A154" s="706">
        <v>137</v>
      </c>
      <c r="C154" s="433"/>
      <c r="D154" s="433"/>
      <c r="E154" s="433"/>
      <c r="F154" s="719">
        <f>SUM(F144:F153)</f>
        <v>140441.21176514041</v>
      </c>
      <c r="G154" s="726" t="s">
        <v>641</v>
      </c>
      <c r="H154" s="725">
        <v>0.53194891591776505</v>
      </c>
      <c r="I154" s="719">
        <f>F154*H154</f>
        <v>74707.550348643708</v>
      </c>
      <c r="J154" s="486"/>
      <c r="K154" s="710"/>
    </row>
    <row r="155" spans="1:12" s="222" customFormat="1">
      <c r="A155" s="706">
        <v>138</v>
      </c>
      <c r="C155" s="433"/>
      <c r="D155" s="433"/>
      <c r="E155" s="433"/>
      <c r="F155" s="722"/>
      <c r="G155" s="352"/>
      <c r="H155" s="709"/>
      <c r="I155" s="486"/>
      <c r="J155" s="486"/>
      <c r="K155" s="710"/>
    </row>
    <row r="156" spans="1:12" s="451" customFormat="1">
      <c r="A156" s="706">
        <v>139</v>
      </c>
      <c r="B156" s="222"/>
      <c r="C156" s="716"/>
      <c r="D156" s="716"/>
      <c r="E156" s="271"/>
      <c r="F156" s="271"/>
      <c r="G156" s="352"/>
      <c r="H156" s="709"/>
      <c r="I156" s="486"/>
      <c r="J156" s="486"/>
      <c r="K156" s="710"/>
      <c r="L156" s="222"/>
    </row>
    <row r="157" spans="1:12" s="451" customFormat="1">
      <c r="A157" s="706">
        <v>140</v>
      </c>
      <c r="B157" s="222"/>
      <c r="C157" s="716"/>
      <c r="D157" s="716"/>
      <c r="E157" s="716"/>
      <c r="F157" s="718"/>
      <c r="G157" s="352"/>
      <c r="H157" s="709"/>
      <c r="I157" s="486"/>
      <c r="J157" s="486"/>
      <c r="K157" s="710"/>
      <c r="L157" s="222"/>
    </row>
    <row r="158" spans="1:12" s="451" customFormat="1">
      <c r="A158" s="706">
        <v>141</v>
      </c>
      <c r="B158" s="222"/>
      <c r="C158" s="716"/>
      <c r="D158" s="716"/>
      <c r="E158" s="716"/>
      <c r="F158" s="718"/>
      <c r="G158" s="352"/>
      <c r="H158" s="709"/>
      <c r="I158" s="486"/>
      <c r="J158" s="486"/>
      <c r="K158" s="710"/>
      <c r="L158" s="222"/>
    </row>
    <row r="159" spans="1:12" s="451" customFormat="1">
      <c r="A159" s="706">
        <v>142</v>
      </c>
      <c r="B159" s="222"/>
      <c r="C159" s="716"/>
      <c r="D159" s="716"/>
      <c r="E159" s="716"/>
      <c r="F159" s="718"/>
      <c r="G159" s="352"/>
      <c r="H159" s="709"/>
      <c r="I159" s="486"/>
      <c r="J159" s="486"/>
      <c r="K159" s="710"/>
      <c r="L159" s="222"/>
    </row>
    <row r="160" spans="1:12" s="451" customFormat="1">
      <c r="A160" s="706">
        <v>143</v>
      </c>
      <c r="B160" s="222"/>
      <c r="C160" s="716"/>
      <c r="D160" s="716"/>
      <c r="E160" s="716"/>
      <c r="F160" s="718"/>
      <c r="G160" s="352"/>
      <c r="H160" s="709"/>
      <c r="I160" s="486"/>
      <c r="J160" s="486"/>
      <c r="K160" s="710"/>
      <c r="L160" s="222"/>
    </row>
    <row r="161" spans="1:12" s="451" customFormat="1">
      <c r="A161" s="706">
        <v>144</v>
      </c>
      <c r="B161" s="222"/>
      <c r="C161" s="716"/>
      <c r="D161" s="716"/>
      <c r="E161" s="716"/>
      <c r="F161" s="718"/>
      <c r="G161" s="352"/>
      <c r="H161" s="709"/>
      <c r="I161" s="486"/>
      <c r="J161" s="486"/>
      <c r="K161" s="710"/>
      <c r="L161" s="222"/>
    </row>
    <row r="162" spans="1:12" s="451" customFormat="1">
      <c r="A162" s="706">
        <v>145</v>
      </c>
      <c r="B162" s="222"/>
      <c r="C162" s="716"/>
      <c r="D162" s="716"/>
      <c r="E162" s="716"/>
      <c r="F162" s="718"/>
      <c r="G162" s="352"/>
      <c r="H162" s="709"/>
      <c r="I162" s="486"/>
      <c r="J162" s="486"/>
      <c r="K162" s="710"/>
      <c r="L162" s="222"/>
    </row>
    <row r="163" spans="1:12" s="451" customFormat="1">
      <c r="A163" s="706">
        <v>146</v>
      </c>
      <c r="B163" s="222"/>
      <c r="C163" s="716"/>
      <c r="D163" s="716"/>
      <c r="E163" s="716"/>
      <c r="F163" s="718"/>
      <c r="G163" s="352"/>
      <c r="H163" s="709"/>
      <c r="I163" s="486"/>
      <c r="J163" s="486"/>
      <c r="K163" s="710"/>
      <c r="L163" s="222"/>
    </row>
    <row r="164" spans="1:12" s="451" customFormat="1">
      <c r="A164" s="706">
        <v>147</v>
      </c>
      <c r="B164" s="222"/>
      <c r="C164" s="716"/>
      <c r="D164" s="716"/>
      <c r="E164" s="716"/>
      <c r="F164" s="718"/>
      <c r="G164" s="352"/>
      <c r="H164" s="709"/>
      <c r="I164" s="486"/>
      <c r="J164" s="486"/>
      <c r="K164" s="710"/>
      <c r="L164" s="222"/>
    </row>
    <row r="165" spans="1:12" s="451" customFormat="1">
      <c r="A165" s="706">
        <v>148</v>
      </c>
      <c r="B165" s="222"/>
      <c r="C165" s="716"/>
      <c r="D165" s="716"/>
      <c r="E165" s="716"/>
      <c r="F165" s="718"/>
      <c r="G165" s="352"/>
      <c r="H165" s="709"/>
      <c r="I165" s="486"/>
      <c r="J165" s="486"/>
      <c r="K165" s="710"/>
      <c r="L165" s="222"/>
    </row>
    <row r="166" spans="1:12" s="222" customFormat="1" ht="14.45" customHeight="1">
      <c r="A166" s="706">
        <v>149</v>
      </c>
      <c r="C166" s="433"/>
      <c r="D166" s="433"/>
      <c r="E166" s="433"/>
      <c r="F166" s="719">
        <f>SUM(F156:F165)</f>
        <v>0</v>
      </c>
      <c r="G166" s="726" t="s">
        <v>642</v>
      </c>
      <c r="H166" s="725"/>
      <c r="I166" s="719">
        <f>F166*H166</f>
        <v>0</v>
      </c>
      <c r="J166" s="486"/>
      <c r="K166" s="710"/>
    </row>
    <row r="167" spans="1:12" s="222" customFormat="1" ht="14.45" customHeight="1">
      <c r="A167" s="706">
        <v>150</v>
      </c>
      <c r="C167" s="433"/>
      <c r="D167" s="433"/>
      <c r="E167" s="433"/>
      <c r="F167" s="722"/>
      <c r="G167" s="712"/>
      <c r="H167" s="713"/>
      <c r="I167" s="722"/>
      <c r="J167" s="486"/>
      <c r="K167" s="710"/>
    </row>
    <row r="168" spans="1:12" s="451" customFormat="1">
      <c r="A168" s="706">
        <v>151</v>
      </c>
      <c r="B168" s="222"/>
      <c r="C168" s="730" t="s">
        <v>1040</v>
      </c>
      <c r="D168" s="730"/>
      <c r="E168" s="730"/>
      <c r="F168" s="731"/>
      <c r="G168" s="732"/>
      <c r="H168" s="733"/>
      <c r="I168" s="734">
        <f>SUM(I32:I166)</f>
        <v>32990571.057947181</v>
      </c>
      <c r="J168" s="722"/>
      <c r="K168" s="710" t="s">
        <v>1151</v>
      </c>
      <c r="L168" s="222"/>
    </row>
    <row r="169" spans="1:12" s="451" customFormat="1">
      <c r="J169" s="222"/>
      <c r="K169" s="222"/>
    </row>
    <row r="170" spans="1:12" s="451" customFormat="1">
      <c r="J170" s="222"/>
      <c r="K170" s="222"/>
    </row>
    <row r="171" spans="1:12">
      <c r="A171" s="696" t="s">
        <v>885</v>
      </c>
      <c r="B171" s="696"/>
      <c r="C171" s="735"/>
      <c r="D171" s="696"/>
      <c r="E171" s="696"/>
      <c r="F171" s="696"/>
      <c r="G171" s="696"/>
      <c r="H171" s="696"/>
      <c r="I171" s="696"/>
      <c r="J171" s="696"/>
      <c r="K171" s="696"/>
    </row>
    <row r="172" spans="1:12">
      <c r="A172" s="687">
        <v>1</v>
      </c>
      <c r="B172" s="724" t="s">
        <v>1152</v>
      </c>
      <c r="C172" s="736"/>
      <c r="D172" s="736"/>
      <c r="E172" s="724"/>
      <c r="F172" s="724"/>
      <c r="G172" s="724"/>
    </row>
    <row r="173" spans="1:12">
      <c r="A173" s="236">
        <v>2</v>
      </c>
      <c r="B173" s="688" t="s">
        <v>1153</v>
      </c>
    </row>
  </sheetData>
  <mergeCells count="3">
    <mergeCell ref="D9:E9"/>
    <mergeCell ref="G16:H16"/>
    <mergeCell ref="G19:H19"/>
  </mergeCells>
  <pageMargins left="0.5" right="0.5" top="0.5" bottom="0.5" header="0" footer="0"/>
  <pageSetup paperSize="5"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73"/>
  <sheetViews>
    <sheetView view="pageBreakPreview" zoomScale="81" zoomScaleNormal="85" zoomScaleSheetLayoutView="81" workbookViewId="0">
      <pane ySplit="19" topLeftCell="A20" activePane="bottomLeft" state="frozen"/>
      <selection pane="bottomLeft"/>
    </sheetView>
  </sheetViews>
  <sheetFormatPr defaultColWidth="8.88671875" defaultRowHeight="14.25"/>
  <cols>
    <col min="1" max="1" width="4.88671875" style="737" customWidth="1"/>
    <col min="2" max="2" width="4.33203125" style="737" customWidth="1"/>
    <col min="3" max="3" width="47.21875" style="737" bestFit="1" customWidth="1"/>
    <col min="4" max="5" width="15.44140625" style="737" customWidth="1"/>
    <col min="6" max="6" width="11.44140625" style="737" customWidth="1"/>
    <col min="7" max="7" width="16.109375" style="737" customWidth="1"/>
    <col min="8" max="8" width="9.44140625" style="737" customWidth="1"/>
    <col min="9" max="9" width="12.21875" style="737" bestFit="1" customWidth="1"/>
    <col min="10" max="10" width="4.6640625" style="737" customWidth="1"/>
    <col min="11" max="11" width="26.88671875" style="737" customWidth="1"/>
    <col min="12" max="16384" width="8.88671875" style="737"/>
  </cols>
  <sheetData>
    <row r="1" spans="1:11" ht="15">
      <c r="A1" s="259" t="str">
        <f>'Exhibit 1a'!A1</f>
        <v>VERSANT POWER – MAINE PUBLIC DISTRICT OATT</v>
      </c>
      <c r="B1" s="686"/>
      <c r="C1" s="686"/>
      <c r="K1" s="738" t="s">
        <v>48</v>
      </c>
    </row>
    <row r="2" spans="1:11" ht="15">
      <c r="A2" s="259" t="str">
        <f>'Exhibit 1a'!A2</f>
        <v>ATTACHMENT J FORMULA RATES</v>
      </c>
      <c r="B2" s="686"/>
      <c r="C2" s="686"/>
      <c r="K2" s="689" t="s">
        <v>1166</v>
      </c>
    </row>
    <row r="3" spans="1:11" ht="15">
      <c r="A3" s="259" t="str">
        <f>'Exhibit 1a'!A3</f>
        <v>RATE YEAR JUNE 1, 2020 TO MAY 31, 2021</v>
      </c>
      <c r="B3" s="686"/>
      <c r="C3" s="686"/>
    </row>
    <row r="4" spans="1:11" ht="15">
      <c r="A4" s="259" t="str">
        <f>'Exhibit 1a'!A4</f>
        <v>Actual ATRR &amp; CHARGES BASED ON ACTUAL CY 2020 VALUES</v>
      </c>
      <c r="B4" s="688"/>
      <c r="C4" s="688"/>
      <c r="F4" s="739"/>
      <c r="G4" s="739"/>
    </row>
    <row r="5" spans="1:11" ht="15">
      <c r="A5" s="690"/>
      <c r="B5" s="688"/>
      <c r="C5" s="688"/>
      <c r="F5" s="739"/>
      <c r="G5" s="739"/>
    </row>
    <row r="6" spans="1:11" ht="15">
      <c r="A6" s="690" t="s">
        <v>1164</v>
      </c>
      <c r="B6" s="688"/>
      <c r="C6" s="688"/>
      <c r="F6" s="739"/>
      <c r="G6" s="739"/>
    </row>
    <row r="7" spans="1:11" ht="15">
      <c r="A7" s="691"/>
      <c r="B7" s="688"/>
      <c r="C7" s="688"/>
      <c r="D7" s="740" t="s">
        <v>66</v>
      </c>
      <c r="E7" s="740" t="s">
        <v>43</v>
      </c>
      <c r="F7" s="740" t="s">
        <v>65</v>
      </c>
      <c r="G7" s="740"/>
      <c r="H7" s="740"/>
      <c r="I7" s="740"/>
    </row>
    <row r="8" spans="1:11" ht="15">
      <c r="A8" s="691"/>
      <c r="B8" s="688"/>
      <c r="C8" s="688"/>
      <c r="D8" s="740"/>
      <c r="E8" s="740"/>
      <c r="F8" s="740"/>
      <c r="G8" s="740"/>
      <c r="H8" s="740"/>
      <c r="I8" s="740"/>
    </row>
    <row r="9" spans="1:11" ht="15">
      <c r="A9" s="691"/>
      <c r="B9" s="688"/>
      <c r="C9" s="688"/>
      <c r="D9" s="954" t="s">
        <v>1057</v>
      </c>
      <c r="E9" s="954"/>
      <c r="F9" s="740"/>
      <c r="G9" s="740"/>
      <c r="H9" s="740"/>
      <c r="I9" s="740"/>
    </row>
    <row r="10" spans="1:11" ht="15">
      <c r="A10" s="692" t="s">
        <v>14</v>
      </c>
      <c r="B10" s="693" t="s">
        <v>13</v>
      </c>
      <c r="C10" s="693"/>
      <c r="D10" s="694" t="s">
        <v>1059</v>
      </c>
      <c r="E10" s="694" t="s">
        <v>1058</v>
      </c>
      <c r="F10" s="741"/>
      <c r="G10" s="741"/>
      <c r="H10" s="742"/>
      <c r="I10" s="742"/>
      <c r="J10" s="742"/>
      <c r="K10" s="743" t="s">
        <v>25</v>
      </c>
    </row>
    <row r="11" spans="1:11" ht="15">
      <c r="A11" s="691"/>
      <c r="B11" s="688"/>
      <c r="C11" s="688"/>
      <c r="F11" s="739"/>
      <c r="G11" s="739"/>
    </row>
    <row r="12" spans="1:11" ht="15">
      <c r="A12" s="687">
        <v>1</v>
      </c>
      <c r="B12" s="688" t="s">
        <v>1060</v>
      </c>
      <c r="C12" s="688"/>
      <c r="D12" s="697">
        <v>0.21</v>
      </c>
      <c r="E12" s="697">
        <v>0.35</v>
      </c>
      <c r="F12" s="33"/>
      <c r="G12" s="33"/>
    </row>
    <row r="13" spans="1:11" ht="15">
      <c r="A13" s="687">
        <v>2</v>
      </c>
      <c r="B13" s="688" t="s">
        <v>1061</v>
      </c>
      <c r="C13" s="688"/>
      <c r="D13" s="697">
        <v>8.9300000000000004E-2</v>
      </c>
      <c r="E13" s="697">
        <v>8.9300000000000004E-2</v>
      </c>
      <c r="F13" s="33"/>
      <c r="G13" s="33"/>
    </row>
    <row r="14" spans="1:11" ht="15">
      <c r="A14" s="687">
        <v>3</v>
      </c>
      <c r="B14" s="688" t="s">
        <v>1062</v>
      </c>
      <c r="C14" s="688"/>
      <c r="D14" s="698">
        <f>D12+(D13*(1-D12))</f>
        <v>0.28054699999999999</v>
      </c>
      <c r="E14" s="698">
        <f>E12+(E13*(1-E12))</f>
        <v>0.40804499999999999</v>
      </c>
      <c r="F14" s="33"/>
      <c r="G14" s="33"/>
      <c r="K14" s="737" t="s">
        <v>1063</v>
      </c>
    </row>
    <row r="15" spans="1:11" ht="15">
      <c r="A15" s="687"/>
      <c r="B15" s="688"/>
      <c r="C15" s="688"/>
      <c r="D15" s="744"/>
      <c r="E15" s="744"/>
      <c r="F15" s="740"/>
      <c r="G15" s="740"/>
      <c r="I15" s="745"/>
    </row>
    <row r="16" spans="1:11" ht="15">
      <c r="A16" s="687"/>
      <c r="B16" s="688"/>
      <c r="C16" s="688"/>
      <c r="D16" s="744" t="s">
        <v>66</v>
      </c>
      <c r="E16" s="744" t="s">
        <v>43</v>
      </c>
      <c r="F16" s="740" t="s">
        <v>1064</v>
      </c>
      <c r="G16" s="954" t="s">
        <v>64</v>
      </c>
      <c r="H16" s="954"/>
      <c r="I16" s="745" t="s">
        <v>145</v>
      </c>
    </row>
    <row r="17" spans="1:12" ht="15">
      <c r="A17" s="687"/>
      <c r="B17" s="688"/>
      <c r="C17" s="688"/>
      <c r="D17" s="744"/>
      <c r="E17" s="744"/>
      <c r="F17" s="740"/>
      <c r="G17" s="740"/>
      <c r="H17" s="740"/>
      <c r="I17" s="745"/>
    </row>
    <row r="18" spans="1:12" ht="15">
      <c r="A18" s="687"/>
      <c r="B18" s="688"/>
      <c r="C18" s="688"/>
      <c r="D18" s="704" t="s">
        <v>1069</v>
      </c>
      <c r="E18" s="704" t="s">
        <v>1065</v>
      </c>
      <c r="F18" s="740"/>
      <c r="G18" s="740"/>
      <c r="I18" s="745"/>
    </row>
    <row r="19" spans="1:12" ht="15">
      <c r="A19" s="692" t="s">
        <v>14</v>
      </c>
      <c r="B19" s="693" t="s">
        <v>13</v>
      </c>
      <c r="C19" s="693"/>
      <c r="D19" s="705" t="s">
        <v>1066</v>
      </c>
      <c r="E19" s="705" t="s">
        <v>1067</v>
      </c>
      <c r="F19" s="740" t="s">
        <v>1056</v>
      </c>
      <c r="G19" s="955" t="s">
        <v>870</v>
      </c>
      <c r="H19" s="955"/>
      <c r="I19" s="743" t="s">
        <v>3</v>
      </c>
      <c r="J19" s="743"/>
      <c r="K19" s="743" t="s">
        <v>25</v>
      </c>
    </row>
    <row r="20" spans="1:12">
      <c r="A20" s="687"/>
      <c r="B20" s="688"/>
      <c r="C20" s="688"/>
    </row>
    <row r="21" spans="1:12" s="451" customFormat="1" ht="15">
      <c r="A21" s="706">
        <v>4</v>
      </c>
      <c r="B21" s="222" t="s">
        <v>1149</v>
      </c>
      <c r="C21" s="707"/>
      <c r="D21" s="707"/>
      <c r="E21" s="707"/>
      <c r="F21" s="708"/>
      <c r="G21" s="352"/>
      <c r="H21" s="709"/>
      <c r="I21" s="486"/>
      <c r="J21" s="486"/>
      <c r="K21" s="710"/>
      <c r="L21" s="222"/>
    </row>
    <row r="22" spans="1:12" s="451" customFormat="1">
      <c r="A22" s="706">
        <v>5</v>
      </c>
      <c r="B22" s="222"/>
      <c r="C22" s="711"/>
      <c r="D22" s="362"/>
      <c r="E22" s="271"/>
      <c r="F22" s="271"/>
      <c r="G22" s="712"/>
      <c r="H22" s="713"/>
      <c r="I22" s="486"/>
      <c r="J22" s="486"/>
      <c r="K22" s="710"/>
      <c r="L22" s="222"/>
    </row>
    <row r="23" spans="1:12" s="451" customFormat="1">
      <c r="A23" s="706">
        <v>6</v>
      </c>
      <c r="B23" s="222"/>
      <c r="C23" s="711"/>
      <c r="D23" s="362"/>
      <c r="E23" s="362"/>
      <c r="F23" s="714"/>
      <c r="G23" s="439"/>
      <c r="H23" s="713"/>
      <c r="I23" s="486"/>
      <c r="J23" s="486"/>
      <c r="K23" s="710"/>
      <c r="L23" s="222"/>
    </row>
    <row r="24" spans="1:12" s="451" customFormat="1">
      <c r="A24" s="706">
        <v>7</v>
      </c>
      <c r="B24" s="222"/>
      <c r="C24" s="715"/>
      <c r="D24" s="362"/>
      <c r="E24" s="362"/>
      <c r="F24" s="714"/>
      <c r="G24" s="439"/>
      <c r="H24" s="713"/>
      <c r="I24" s="486"/>
      <c r="J24" s="486"/>
      <c r="K24" s="710"/>
      <c r="L24" s="222"/>
    </row>
    <row r="25" spans="1:12" s="451" customFormat="1">
      <c r="A25" s="706">
        <v>8</v>
      </c>
      <c r="B25" s="222"/>
      <c r="C25" s="716"/>
      <c r="D25" s="362"/>
      <c r="E25" s="362"/>
      <c r="F25" s="717"/>
      <c r="G25" s="222"/>
      <c r="H25" s="222"/>
      <c r="I25" s="486"/>
      <c r="J25" s="486"/>
      <c r="K25" s="710"/>
      <c r="L25" s="222"/>
    </row>
    <row r="26" spans="1:12" s="451" customFormat="1">
      <c r="A26" s="706">
        <v>9</v>
      </c>
      <c r="B26" s="222"/>
      <c r="C26" s="716"/>
      <c r="D26" s="716"/>
      <c r="E26" s="716"/>
      <c r="F26" s="717"/>
      <c r="G26" s="352"/>
      <c r="H26" s="709"/>
      <c r="I26" s="486"/>
      <c r="J26" s="486"/>
      <c r="K26" s="710"/>
      <c r="L26" s="222"/>
    </row>
    <row r="27" spans="1:12" s="451" customFormat="1">
      <c r="A27" s="706">
        <v>10</v>
      </c>
      <c r="B27" s="222"/>
      <c r="C27" s="716"/>
      <c r="D27" s="716"/>
      <c r="E27" s="716"/>
      <c r="F27" s="717"/>
      <c r="G27" s="352"/>
      <c r="H27" s="709"/>
      <c r="I27" s="486"/>
      <c r="J27" s="486"/>
      <c r="K27" s="710"/>
      <c r="L27" s="222"/>
    </row>
    <row r="28" spans="1:12" s="451" customFormat="1">
      <c r="A28" s="706">
        <v>11</v>
      </c>
      <c r="B28" s="222"/>
      <c r="C28" s="716"/>
      <c r="D28" s="716"/>
      <c r="E28" s="716"/>
      <c r="F28" s="717"/>
      <c r="G28" s="352"/>
      <c r="H28" s="709"/>
      <c r="I28" s="486"/>
      <c r="J28" s="486"/>
      <c r="K28" s="710"/>
      <c r="L28" s="222"/>
    </row>
    <row r="29" spans="1:12" s="451" customFormat="1">
      <c r="A29" s="706">
        <v>12</v>
      </c>
      <c r="B29" s="222"/>
      <c r="C29" s="716"/>
      <c r="D29" s="716"/>
      <c r="E29" s="716"/>
      <c r="F29" s="717"/>
      <c r="G29" s="352"/>
      <c r="H29" s="709"/>
      <c r="I29" s="486"/>
      <c r="J29" s="486"/>
      <c r="K29" s="710"/>
      <c r="L29" s="222"/>
    </row>
    <row r="30" spans="1:12" s="451" customFormat="1">
      <c r="A30" s="706">
        <v>13</v>
      </c>
      <c r="B30" s="222"/>
      <c r="C30" s="716"/>
      <c r="D30" s="716"/>
      <c r="E30" s="716"/>
      <c r="F30" s="718"/>
      <c r="G30" s="352"/>
      <c r="H30" s="709"/>
      <c r="I30" s="486"/>
      <c r="J30" s="486"/>
      <c r="K30" s="710"/>
      <c r="L30" s="222"/>
    </row>
    <row r="31" spans="1:12" s="451" customFormat="1">
      <c r="A31" s="706">
        <v>14</v>
      </c>
      <c r="B31" s="222"/>
      <c r="C31" s="716"/>
      <c r="D31" s="716"/>
      <c r="E31" s="716"/>
      <c r="F31" s="718"/>
      <c r="G31" s="352"/>
      <c r="H31" s="709"/>
      <c r="I31" s="486"/>
      <c r="J31" s="486"/>
      <c r="K31" s="710"/>
      <c r="L31" s="222"/>
    </row>
    <row r="32" spans="1:12" s="222" customFormat="1" ht="14.45" customHeight="1">
      <c r="A32" s="706">
        <v>15</v>
      </c>
      <c r="C32" s="433"/>
      <c r="D32" s="433"/>
      <c r="E32" s="433"/>
      <c r="F32" s="719">
        <f>SUM(F22:F31)</f>
        <v>0</v>
      </c>
      <c r="G32" s="720" t="s">
        <v>1150</v>
      </c>
      <c r="H32" s="721">
        <v>1</v>
      </c>
      <c r="I32" s="719">
        <f>F32*H32</f>
        <v>0</v>
      </c>
      <c r="J32" s="486"/>
      <c r="K32" s="710"/>
    </row>
    <row r="33" spans="1:12" s="222" customFormat="1">
      <c r="A33" s="706">
        <v>16</v>
      </c>
      <c r="C33" s="433"/>
      <c r="D33" s="433"/>
      <c r="E33" s="433"/>
      <c r="F33" s="722"/>
      <c r="G33" s="352"/>
      <c r="H33" s="709"/>
      <c r="I33" s="486"/>
      <c r="J33" s="486"/>
      <c r="K33" s="710"/>
    </row>
    <row r="34" spans="1:12" s="451" customFormat="1">
      <c r="A34" s="706">
        <v>17</v>
      </c>
      <c r="B34" s="222"/>
      <c r="C34" s="723" t="s">
        <v>777</v>
      </c>
      <c r="D34" s="271">
        <v>922370.06490853359</v>
      </c>
      <c r="E34" s="271">
        <f>(D34/$D$14)*$E$14</f>
        <v>1341552.3713873348</v>
      </c>
      <c r="F34" s="271">
        <f>D34-E34</f>
        <v>-419182.30647880118</v>
      </c>
      <c r="G34" s="712"/>
      <c r="H34" s="713"/>
      <c r="I34" s="486"/>
      <c r="J34" s="486"/>
      <c r="K34" s="710"/>
      <c r="L34" s="222"/>
    </row>
    <row r="35" spans="1:12" s="451" customFormat="1">
      <c r="A35" s="706">
        <v>18</v>
      </c>
      <c r="B35" s="222"/>
      <c r="C35" s="723" t="s">
        <v>778</v>
      </c>
      <c r="D35" s="271">
        <v>22293.342244004321</v>
      </c>
      <c r="E35" s="271">
        <f t="shared" ref="E35:E37" si="0">(D35/$D$14)*$E$14</f>
        <v>32424.823063353891</v>
      </c>
      <c r="F35" s="271">
        <f t="shared" ref="F35:F37" si="1">D35-E35</f>
        <v>-10131.48081934957</v>
      </c>
      <c r="G35" s="439"/>
      <c r="H35" s="713"/>
      <c r="I35" s="486"/>
      <c r="J35" s="486"/>
      <c r="K35" s="710"/>
      <c r="L35" s="222"/>
    </row>
    <row r="36" spans="1:12" s="451" customFormat="1">
      <c r="A36" s="706">
        <v>19</v>
      </c>
      <c r="B36" s="222"/>
      <c r="C36" s="724" t="s">
        <v>779</v>
      </c>
      <c r="D36" s="271">
        <v>62327.780136565154</v>
      </c>
      <c r="E36" s="271">
        <f t="shared" si="0"/>
        <v>90653.398702622842</v>
      </c>
      <c r="F36" s="271">
        <f t="shared" si="1"/>
        <v>-28325.618566057688</v>
      </c>
      <c r="G36" s="439"/>
      <c r="H36" s="713"/>
      <c r="I36" s="486"/>
      <c r="J36" s="486"/>
      <c r="K36" s="710"/>
      <c r="L36" s="222"/>
    </row>
    <row r="37" spans="1:12" s="451" customFormat="1">
      <c r="A37" s="706">
        <v>20</v>
      </c>
      <c r="B37" s="222"/>
      <c r="C37" s="724" t="s">
        <v>780</v>
      </c>
      <c r="D37" s="271">
        <v>999896.20011218206</v>
      </c>
      <c r="E37" s="271">
        <f t="shared" si="0"/>
        <v>1454311.2026675579</v>
      </c>
      <c r="F37" s="271">
        <f t="shared" si="1"/>
        <v>-454415.0025553758</v>
      </c>
      <c r="G37" s="222"/>
      <c r="H37" s="222"/>
      <c r="I37" s="486"/>
      <c r="J37" s="486"/>
      <c r="K37" s="710"/>
      <c r="L37" s="222"/>
    </row>
    <row r="38" spans="1:12" s="451" customFormat="1">
      <c r="A38" s="706">
        <v>21</v>
      </c>
      <c r="B38" s="222"/>
      <c r="C38" s="716"/>
      <c r="D38" s="716"/>
      <c r="E38" s="716"/>
      <c r="F38" s="717"/>
      <c r="G38" s="352"/>
      <c r="H38" s="709"/>
      <c r="I38" s="486"/>
      <c r="J38" s="486"/>
      <c r="K38" s="710"/>
      <c r="L38" s="222"/>
    </row>
    <row r="39" spans="1:12" s="451" customFormat="1">
      <c r="A39" s="706">
        <v>22</v>
      </c>
      <c r="B39" s="222"/>
      <c r="C39" s="716"/>
      <c r="D39" s="716"/>
      <c r="E39" s="716"/>
      <c r="F39" s="717"/>
      <c r="G39" s="352"/>
      <c r="H39" s="709"/>
      <c r="I39" s="486"/>
      <c r="J39" s="486"/>
      <c r="K39" s="710"/>
      <c r="L39" s="222"/>
    </row>
    <row r="40" spans="1:12" s="451" customFormat="1">
      <c r="A40" s="706">
        <v>23</v>
      </c>
      <c r="B40" s="222"/>
      <c r="C40" s="716"/>
      <c r="D40" s="716"/>
      <c r="E40" s="716"/>
      <c r="F40" s="717"/>
      <c r="G40" s="352"/>
      <c r="H40" s="709"/>
      <c r="I40" s="486"/>
      <c r="J40" s="486"/>
      <c r="K40" s="710"/>
      <c r="L40" s="222"/>
    </row>
    <row r="41" spans="1:12" s="451" customFormat="1">
      <c r="A41" s="706">
        <v>24</v>
      </c>
      <c r="B41" s="222"/>
      <c r="C41" s="716"/>
      <c r="D41" s="716"/>
      <c r="E41" s="716"/>
      <c r="F41" s="717"/>
      <c r="G41" s="352"/>
      <c r="H41" s="709"/>
      <c r="I41" s="486"/>
      <c r="J41" s="486"/>
      <c r="K41" s="710"/>
      <c r="L41" s="222"/>
    </row>
    <row r="42" spans="1:12" s="451" customFormat="1">
      <c r="A42" s="706">
        <v>25</v>
      </c>
      <c r="B42" s="222"/>
      <c r="C42" s="716"/>
      <c r="D42" s="716"/>
      <c r="E42" s="716"/>
      <c r="F42" s="718"/>
      <c r="G42" s="352"/>
      <c r="H42" s="709"/>
      <c r="I42" s="486"/>
      <c r="J42" s="486"/>
      <c r="K42" s="710"/>
      <c r="L42" s="222"/>
    </row>
    <row r="43" spans="1:12" s="451" customFormat="1">
      <c r="A43" s="706">
        <v>26</v>
      </c>
      <c r="B43" s="222"/>
      <c r="C43" s="716"/>
      <c r="D43" s="716"/>
      <c r="E43" s="716"/>
      <c r="F43" s="718"/>
      <c r="G43" s="352"/>
      <c r="H43" s="709"/>
      <c r="I43" s="486"/>
      <c r="J43" s="486"/>
      <c r="K43" s="710"/>
      <c r="L43" s="222"/>
    </row>
    <row r="44" spans="1:12" s="222" customFormat="1" ht="14.45" customHeight="1">
      <c r="A44" s="706">
        <v>27</v>
      </c>
      <c r="C44" s="433"/>
      <c r="D44" s="433"/>
      <c r="E44" s="433"/>
      <c r="F44" s="719">
        <f>SUM(F34:F43)</f>
        <v>-912054.40841958427</v>
      </c>
      <c r="G44" s="720" t="s">
        <v>640</v>
      </c>
      <c r="H44" s="746">
        <v>0.1140949301726389</v>
      </c>
      <c r="I44" s="719">
        <f>F44*H44</f>
        <v>-104060.78404227995</v>
      </c>
      <c r="J44" s="486"/>
      <c r="K44" s="710"/>
    </row>
    <row r="45" spans="1:12" s="222" customFormat="1">
      <c r="A45" s="706">
        <v>28</v>
      </c>
      <c r="C45" s="433"/>
      <c r="D45" s="433"/>
      <c r="E45" s="433"/>
      <c r="F45" s="722"/>
      <c r="G45" s="352"/>
      <c r="H45" s="709"/>
      <c r="I45" s="486"/>
      <c r="J45" s="486"/>
      <c r="K45" s="710"/>
    </row>
    <row r="46" spans="1:12" s="451" customFormat="1">
      <c r="A46" s="706">
        <v>29</v>
      </c>
      <c r="B46" s="222"/>
      <c r="C46" s="716"/>
      <c r="D46" s="271"/>
      <c r="E46" s="271"/>
      <c r="F46" s="271"/>
      <c r="G46" s="352"/>
      <c r="H46" s="709"/>
      <c r="I46" s="486"/>
      <c r="J46" s="486"/>
      <c r="K46" s="710"/>
      <c r="L46" s="222"/>
    </row>
    <row r="47" spans="1:12" s="451" customFormat="1">
      <c r="A47" s="706">
        <v>30</v>
      </c>
      <c r="B47" s="222"/>
      <c r="C47" s="716"/>
      <c r="D47" s="271"/>
      <c r="E47" s="271"/>
      <c r="F47" s="271"/>
      <c r="G47" s="352"/>
      <c r="H47" s="709"/>
      <c r="I47" s="486"/>
      <c r="J47" s="486"/>
      <c r="K47" s="710"/>
      <c r="L47" s="222"/>
    </row>
    <row r="48" spans="1:12" s="451" customFormat="1">
      <c r="A48" s="706">
        <v>31</v>
      </c>
      <c r="B48" s="222"/>
      <c r="C48" s="716"/>
      <c r="D48" s="271"/>
      <c r="E48" s="271"/>
      <c r="F48" s="271"/>
      <c r="G48" s="352"/>
      <c r="H48" s="709"/>
      <c r="I48" s="486"/>
      <c r="J48" s="486"/>
      <c r="K48" s="710"/>
      <c r="L48" s="222"/>
    </row>
    <row r="49" spans="1:12" s="451" customFormat="1">
      <c r="A49" s="706">
        <v>32</v>
      </c>
      <c r="B49" s="222"/>
      <c r="C49" s="716"/>
      <c r="D49" s="271"/>
      <c r="E49" s="271"/>
      <c r="F49" s="271"/>
      <c r="G49" s="352"/>
      <c r="H49" s="709"/>
      <c r="I49" s="486"/>
      <c r="J49" s="486"/>
      <c r="K49" s="710"/>
      <c r="L49" s="222"/>
    </row>
    <row r="50" spans="1:12" s="451" customFormat="1">
      <c r="A50" s="706">
        <v>33</v>
      </c>
      <c r="B50" s="222"/>
      <c r="C50" s="716"/>
      <c r="D50" s="271"/>
      <c r="E50" s="271"/>
      <c r="F50" s="271"/>
      <c r="G50" s="352"/>
      <c r="H50" s="709"/>
      <c r="I50" s="486"/>
      <c r="J50" s="486"/>
      <c r="K50" s="710"/>
      <c r="L50" s="222"/>
    </row>
    <row r="51" spans="1:12" s="451" customFormat="1">
      <c r="A51" s="706">
        <v>34</v>
      </c>
      <c r="B51" s="222"/>
      <c r="C51" s="716"/>
      <c r="D51" s="271"/>
      <c r="E51" s="271"/>
      <c r="F51" s="271"/>
      <c r="G51" s="352"/>
      <c r="H51" s="709"/>
      <c r="I51" s="486"/>
      <c r="J51" s="486"/>
      <c r="K51" s="710"/>
      <c r="L51" s="222"/>
    </row>
    <row r="52" spans="1:12" s="451" customFormat="1">
      <c r="A52" s="706">
        <v>35</v>
      </c>
      <c r="B52" s="222"/>
      <c r="C52" s="716"/>
      <c r="D52" s="271"/>
      <c r="E52" s="271"/>
      <c r="F52" s="271"/>
      <c r="G52" s="352"/>
      <c r="H52" s="709"/>
      <c r="I52" s="486"/>
      <c r="J52" s="486"/>
      <c r="K52" s="710"/>
      <c r="L52" s="222"/>
    </row>
    <row r="53" spans="1:12" s="451" customFormat="1">
      <c r="A53" s="706">
        <v>36</v>
      </c>
      <c r="B53" s="222"/>
      <c r="C53" s="716"/>
      <c r="D53" s="271"/>
      <c r="E53" s="271"/>
      <c r="F53" s="271"/>
      <c r="G53" s="352"/>
      <c r="H53" s="709"/>
      <c r="I53" s="486"/>
      <c r="J53" s="486"/>
      <c r="K53" s="710"/>
      <c r="L53" s="222"/>
    </row>
    <row r="54" spans="1:12" s="451" customFormat="1">
      <c r="A54" s="706">
        <v>37</v>
      </c>
      <c r="B54" s="222"/>
      <c r="C54" s="716"/>
      <c r="D54" s="271"/>
      <c r="E54" s="271"/>
      <c r="F54" s="271"/>
      <c r="G54" s="352"/>
      <c r="H54" s="709"/>
      <c r="I54" s="486"/>
      <c r="J54" s="486"/>
      <c r="K54" s="710"/>
      <c r="L54" s="222"/>
    </row>
    <row r="55" spans="1:12" s="451" customFormat="1">
      <c r="A55" s="706">
        <v>38</v>
      </c>
      <c r="B55" s="222"/>
      <c r="C55" s="716"/>
      <c r="D55" s="271"/>
      <c r="E55" s="271"/>
      <c r="F55" s="271"/>
      <c r="G55" s="352"/>
      <c r="H55" s="709"/>
      <c r="I55" s="486"/>
      <c r="J55" s="486"/>
      <c r="K55" s="710"/>
      <c r="L55" s="222"/>
    </row>
    <row r="56" spans="1:12" s="222" customFormat="1" ht="14.45" customHeight="1">
      <c r="A56" s="706">
        <v>39</v>
      </c>
      <c r="C56" s="433"/>
      <c r="D56" s="433"/>
      <c r="E56" s="433"/>
      <c r="F56" s="719">
        <f>SUM(F46:F55)</f>
        <v>0</v>
      </c>
      <c r="G56" s="726" t="s">
        <v>641</v>
      </c>
      <c r="H56" s="725"/>
      <c r="I56" s="719">
        <f>F56*H56</f>
        <v>0</v>
      </c>
      <c r="J56" s="486"/>
      <c r="K56" s="710"/>
    </row>
    <row r="57" spans="1:12" s="222" customFormat="1">
      <c r="A57" s="706">
        <v>40</v>
      </c>
      <c r="C57" s="433"/>
      <c r="D57" s="433"/>
      <c r="E57" s="433"/>
      <c r="F57" s="722"/>
      <c r="G57" s="352"/>
      <c r="H57" s="709"/>
      <c r="I57" s="486"/>
      <c r="J57" s="486"/>
      <c r="K57" s="710"/>
    </row>
    <row r="58" spans="1:12" s="451" customFormat="1">
      <c r="A58" s="706">
        <v>41</v>
      </c>
      <c r="B58" s="222"/>
      <c r="C58" s="716"/>
      <c r="D58" s="716"/>
      <c r="E58" s="271"/>
      <c r="F58" s="271"/>
      <c r="G58" s="352"/>
      <c r="H58" s="709"/>
      <c r="I58" s="486"/>
      <c r="J58" s="486"/>
      <c r="K58" s="710"/>
      <c r="L58" s="222"/>
    </row>
    <row r="59" spans="1:12" s="451" customFormat="1">
      <c r="A59" s="706">
        <v>42</v>
      </c>
      <c r="B59" s="222"/>
      <c r="C59" s="716"/>
      <c r="D59" s="716"/>
      <c r="E59" s="716"/>
      <c r="F59" s="718"/>
      <c r="G59" s="352"/>
      <c r="H59" s="709"/>
      <c r="I59" s="486"/>
      <c r="J59" s="486"/>
      <c r="K59" s="710"/>
      <c r="L59" s="222"/>
    </row>
    <row r="60" spans="1:12" s="451" customFormat="1">
      <c r="A60" s="706">
        <v>43</v>
      </c>
      <c r="B60" s="222"/>
      <c r="C60" s="716"/>
      <c r="D60" s="716"/>
      <c r="E60" s="716"/>
      <c r="F60" s="718"/>
      <c r="G60" s="352"/>
      <c r="H60" s="709"/>
      <c r="I60" s="486"/>
      <c r="J60" s="486"/>
      <c r="K60" s="710"/>
      <c r="L60" s="222"/>
    </row>
    <row r="61" spans="1:12" s="451" customFormat="1">
      <c r="A61" s="706">
        <v>44</v>
      </c>
      <c r="B61" s="222"/>
      <c r="C61" s="716"/>
      <c r="D61" s="716"/>
      <c r="E61" s="716"/>
      <c r="F61" s="718"/>
      <c r="G61" s="352"/>
      <c r="H61" s="709"/>
      <c r="I61" s="486"/>
      <c r="J61" s="486"/>
      <c r="K61" s="710"/>
      <c r="L61" s="222"/>
    </row>
    <row r="62" spans="1:12" s="451" customFormat="1">
      <c r="A62" s="706">
        <v>45</v>
      </c>
      <c r="B62" s="222"/>
      <c r="C62" s="716"/>
      <c r="D62" s="716"/>
      <c r="E62" s="716"/>
      <c r="F62" s="718"/>
      <c r="G62" s="352"/>
      <c r="H62" s="709"/>
      <c r="I62" s="486"/>
      <c r="J62" s="486"/>
      <c r="K62" s="710"/>
      <c r="L62" s="222"/>
    </row>
    <row r="63" spans="1:12" s="451" customFormat="1">
      <c r="A63" s="706">
        <v>46</v>
      </c>
      <c r="B63" s="222"/>
      <c r="C63" s="716"/>
      <c r="D63" s="716"/>
      <c r="E63" s="716"/>
      <c r="F63" s="718"/>
      <c r="G63" s="352"/>
      <c r="H63" s="709"/>
      <c r="I63" s="486"/>
      <c r="J63" s="486"/>
      <c r="K63" s="710"/>
      <c r="L63" s="222"/>
    </row>
    <row r="64" spans="1:12" s="451" customFormat="1">
      <c r="A64" s="706">
        <v>47</v>
      </c>
      <c r="B64" s="222"/>
      <c r="C64" s="716"/>
      <c r="D64" s="716"/>
      <c r="E64" s="716"/>
      <c r="F64" s="718"/>
      <c r="G64" s="352"/>
      <c r="H64" s="709"/>
      <c r="I64" s="486"/>
      <c r="J64" s="486"/>
      <c r="K64" s="710"/>
      <c r="L64" s="222"/>
    </row>
    <row r="65" spans="1:12" s="451" customFormat="1">
      <c r="A65" s="706">
        <v>48</v>
      </c>
      <c r="B65" s="222"/>
      <c r="C65" s="716"/>
      <c r="D65" s="716"/>
      <c r="E65" s="716"/>
      <c r="F65" s="718"/>
      <c r="G65" s="352"/>
      <c r="H65" s="709"/>
      <c r="I65" s="486"/>
      <c r="J65" s="486"/>
      <c r="K65" s="710"/>
      <c r="L65" s="222"/>
    </row>
    <row r="66" spans="1:12" s="451" customFormat="1">
      <c r="A66" s="706">
        <v>49</v>
      </c>
      <c r="B66" s="222"/>
      <c r="C66" s="716"/>
      <c r="D66" s="716"/>
      <c r="E66" s="716"/>
      <c r="F66" s="718"/>
      <c r="G66" s="352"/>
      <c r="H66" s="709"/>
      <c r="I66" s="486"/>
      <c r="J66" s="486"/>
      <c r="K66" s="710"/>
      <c r="L66" s="222"/>
    </row>
    <row r="67" spans="1:12" s="451" customFormat="1">
      <c r="A67" s="706">
        <v>50</v>
      </c>
      <c r="B67" s="222"/>
      <c r="C67" s="716"/>
      <c r="D67" s="716"/>
      <c r="E67" s="716"/>
      <c r="F67" s="718"/>
      <c r="G67" s="352"/>
      <c r="H67" s="709"/>
      <c r="I67" s="486"/>
      <c r="J67" s="486"/>
      <c r="K67" s="710"/>
      <c r="L67" s="222"/>
    </row>
    <row r="68" spans="1:12" s="222" customFormat="1" ht="14.45" customHeight="1">
      <c r="A68" s="706">
        <v>51</v>
      </c>
      <c r="C68" s="433"/>
      <c r="D68" s="433"/>
      <c r="E68" s="433"/>
      <c r="F68" s="719">
        <f>SUM(F58:F67)</f>
        <v>0</v>
      </c>
      <c r="G68" s="726" t="s">
        <v>642</v>
      </c>
      <c r="H68" s="725"/>
      <c r="I68" s="719">
        <f>F68*H68</f>
        <v>0</v>
      </c>
      <c r="J68" s="486"/>
      <c r="K68" s="710"/>
    </row>
    <row r="69" spans="1:12" s="451" customFormat="1">
      <c r="A69" s="706">
        <v>52</v>
      </c>
      <c r="B69" s="222"/>
      <c r="C69" s="222"/>
      <c r="D69" s="222"/>
      <c r="E69" s="222"/>
      <c r="F69" s="722"/>
      <c r="G69" s="352"/>
      <c r="H69" s="727"/>
      <c r="I69" s="722"/>
      <c r="J69" s="722"/>
      <c r="K69" s="710"/>
      <c r="L69" s="222"/>
    </row>
    <row r="70" spans="1:12" s="451" customFormat="1">
      <c r="A70" s="706">
        <v>53</v>
      </c>
      <c r="B70" s="222" t="s">
        <v>277</v>
      </c>
      <c r="C70" s="222"/>
      <c r="D70" s="222"/>
      <c r="E70" s="222"/>
      <c r="F70" s="486"/>
      <c r="G70" s="352"/>
      <c r="H70" s="709"/>
      <c r="I70" s="486"/>
      <c r="J70" s="486"/>
      <c r="K70" s="710"/>
      <c r="L70" s="222"/>
    </row>
    <row r="71" spans="1:12" s="451" customFormat="1">
      <c r="A71" s="706">
        <v>54</v>
      </c>
      <c r="B71" s="222"/>
      <c r="C71" s="711"/>
      <c r="D71" s="362"/>
      <c r="E71" s="271"/>
      <c r="F71" s="271"/>
      <c r="G71" s="712"/>
      <c r="H71" s="713"/>
      <c r="I71" s="486"/>
      <c r="J71" s="486"/>
      <c r="K71" s="710"/>
      <c r="L71" s="222"/>
    </row>
    <row r="72" spans="1:12" s="451" customFormat="1">
      <c r="A72" s="706">
        <v>55</v>
      </c>
      <c r="B72" s="222"/>
      <c r="C72" s="711"/>
      <c r="D72" s="362"/>
      <c r="E72" s="362"/>
      <c r="F72" s="714"/>
      <c r="G72" s="439"/>
      <c r="H72" s="713"/>
      <c r="I72" s="486"/>
      <c r="J72" s="486"/>
      <c r="K72" s="710"/>
      <c r="L72" s="222"/>
    </row>
    <row r="73" spans="1:12" s="451" customFormat="1">
      <c r="A73" s="706">
        <v>56</v>
      </c>
      <c r="B73" s="222"/>
      <c r="C73" s="715"/>
      <c r="D73" s="362"/>
      <c r="E73" s="362"/>
      <c r="F73" s="714"/>
      <c r="G73" s="439"/>
      <c r="H73" s="713"/>
      <c r="I73" s="486"/>
      <c r="J73" s="486"/>
      <c r="K73" s="710"/>
      <c r="L73" s="222"/>
    </row>
    <row r="74" spans="1:12" s="451" customFormat="1">
      <c r="A74" s="706">
        <v>57</v>
      </c>
      <c r="B74" s="222"/>
      <c r="C74" s="716"/>
      <c r="D74" s="362"/>
      <c r="E74" s="362"/>
      <c r="F74" s="717"/>
      <c r="G74" s="222"/>
      <c r="H74" s="222"/>
      <c r="I74" s="486"/>
      <c r="J74" s="486"/>
      <c r="K74" s="710"/>
      <c r="L74" s="222"/>
    </row>
    <row r="75" spans="1:12" s="451" customFormat="1">
      <c r="A75" s="706">
        <v>58</v>
      </c>
      <c r="B75" s="222"/>
      <c r="C75" s="716"/>
      <c r="D75" s="716"/>
      <c r="E75" s="716"/>
      <c r="F75" s="717"/>
      <c r="G75" s="352"/>
      <c r="H75" s="709"/>
      <c r="I75" s="486"/>
      <c r="J75" s="486"/>
      <c r="K75" s="710"/>
      <c r="L75" s="222"/>
    </row>
    <row r="76" spans="1:12" s="451" customFormat="1">
      <c r="A76" s="706">
        <v>59</v>
      </c>
      <c r="B76" s="222"/>
      <c r="C76" s="716"/>
      <c r="D76" s="716"/>
      <c r="E76" s="716"/>
      <c r="F76" s="717"/>
      <c r="G76" s="352"/>
      <c r="H76" s="709"/>
      <c r="I76" s="486"/>
      <c r="J76" s="486"/>
      <c r="K76" s="710"/>
      <c r="L76" s="222"/>
    </row>
    <row r="77" spans="1:12" s="451" customFormat="1">
      <c r="A77" s="706">
        <v>60</v>
      </c>
      <c r="B77" s="222"/>
      <c r="C77" s="716"/>
      <c r="D77" s="716"/>
      <c r="E77" s="716"/>
      <c r="F77" s="717"/>
      <c r="G77" s="352"/>
      <c r="H77" s="709"/>
      <c r="I77" s="486"/>
      <c r="J77" s="486"/>
      <c r="K77" s="710"/>
      <c r="L77" s="222"/>
    </row>
    <row r="78" spans="1:12" s="451" customFormat="1">
      <c r="A78" s="706">
        <v>61</v>
      </c>
      <c r="B78" s="222"/>
      <c r="C78" s="716"/>
      <c r="D78" s="716"/>
      <c r="E78" s="716"/>
      <c r="F78" s="717"/>
      <c r="G78" s="352"/>
      <c r="H78" s="709"/>
      <c r="I78" s="486"/>
      <c r="J78" s="486"/>
      <c r="K78" s="710"/>
      <c r="L78" s="222"/>
    </row>
    <row r="79" spans="1:12" s="451" customFormat="1">
      <c r="A79" s="706">
        <v>62</v>
      </c>
      <c r="B79" s="222"/>
      <c r="C79" s="716"/>
      <c r="D79" s="716"/>
      <c r="E79" s="716"/>
      <c r="F79" s="718"/>
      <c r="G79" s="352"/>
      <c r="H79" s="709"/>
      <c r="I79" s="486"/>
      <c r="J79" s="486"/>
      <c r="K79" s="710"/>
      <c r="L79" s="222"/>
    </row>
    <row r="80" spans="1:12" s="451" customFormat="1">
      <c r="A80" s="706">
        <v>63</v>
      </c>
      <c r="B80" s="222"/>
      <c r="C80" s="716"/>
      <c r="D80" s="716"/>
      <c r="E80" s="716"/>
      <c r="F80" s="718"/>
      <c r="G80" s="352"/>
      <c r="H80" s="709"/>
      <c r="I80" s="486"/>
      <c r="J80" s="486"/>
      <c r="K80" s="710"/>
      <c r="L80" s="222"/>
    </row>
    <row r="81" spans="1:12" s="222" customFormat="1" ht="14.45" customHeight="1">
      <c r="A81" s="706">
        <v>64</v>
      </c>
      <c r="C81" s="433"/>
      <c r="D81" s="433"/>
      <c r="E81" s="433"/>
      <c r="F81" s="719">
        <f>SUM(F71:F80)</f>
        <v>0</v>
      </c>
      <c r="G81" s="720" t="s">
        <v>1150</v>
      </c>
      <c r="H81" s="721">
        <v>1</v>
      </c>
      <c r="I81" s="719">
        <f>F81*H81</f>
        <v>0</v>
      </c>
      <c r="J81" s="486"/>
      <c r="K81" s="710"/>
    </row>
    <row r="82" spans="1:12" s="222" customFormat="1">
      <c r="A82" s="706">
        <v>65</v>
      </c>
      <c r="C82" s="433"/>
      <c r="D82" s="433"/>
      <c r="E82" s="433"/>
      <c r="F82" s="722"/>
      <c r="G82" s="352"/>
      <c r="H82" s="709"/>
      <c r="I82" s="486"/>
      <c r="J82" s="486"/>
      <c r="K82" s="710"/>
    </row>
    <row r="83" spans="1:12" s="451" customFormat="1">
      <c r="A83" s="706">
        <v>66</v>
      </c>
      <c r="B83" s="222"/>
      <c r="C83" s="724"/>
      <c r="D83" s="271"/>
      <c r="E83" s="271"/>
      <c r="F83" s="271"/>
      <c r="G83" s="712"/>
      <c r="H83" s="713"/>
      <c r="I83" s="486"/>
      <c r="J83" s="486"/>
      <c r="K83" s="710"/>
      <c r="L83" s="222"/>
    </row>
    <row r="84" spans="1:12" s="451" customFormat="1">
      <c r="A84" s="706">
        <v>67</v>
      </c>
      <c r="B84" s="222"/>
      <c r="C84" s="724"/>
      <c r="D84" s="271"/>
      <c r="E84" s="271"/>
      <c r="F84" s="271"/>
      <c r="G84" s="439"/>
      <c r="H84" s="713"/>
      <c r="I84" s="486"/>
      <c r="J84" s="486"/>
      <c r="K84" s="710"/>
      <c r="L84" s="222"/>
    </row>
    <row r="85" spans="1:12" s="451" customFormat="1">
      <c r="A85" s="706">
        <v>68</v>
      </c>
      <c r="B85" s="222"/>
      <c r="C85" s="716"/>
      <c r="D85" s="362"/>
      <c r="E85" s="362"/>
      <c r="F85" s="714"/>
      <c r="G85" s="439"/>
      <c r="H85" s="713"/>
      <c r="I85" s="486"/>
      <c r="J85" s="486"/>
      <c r="K85" s="710"/>
      <c r="L85" s="222"/>
    </row>
    <row r="86" spans="1:12" s="451" customFormat="1">
      <c r="A86" s="706">
        <v>69</v>
      </c>
      <c r="B86" s="222"/>
      <c r="C86" s="716"/>
      <c r="D86" s="362"/>
      <c r="E86" s="362"/>
      <c r="F86" s="717"/>
      <c r="G86" s="222"/>
      <c r="H86" s="222"/>
      <c r="I86" s="486"/>
      <c r="J86" s="486"/>
      <c r="K86" s="710"/>
      <c r="L86" s="222"/>
    </row>
    <row r="87" spans="1:12" s="451" customFormat="1">
      <c r="A87" s="706">
        <v>70</v>
      </c>
      <c r="B87" s="222"/>
      <c r="C87" s="716"/>
      <c r="D87" s="716"/>
      <c r="E87" s="716"/>
      <c r="F87" s="717"/>
      <c r="G87" s="352"/>
      <c r="H87" s="709"/>
      <c r="I87" s="486"/>
      <c r="J87" s="486"/>
      <c r="K87" s="710"/>
      <c r="L87" s="222"/>
    </row>
    <row r="88" spans="1:12" s="451" customFormat="1">
      <c r="A88" s="706">
        <v>71</v>
      </c>
      <c r="B88" s="222"/>
      <c r="C88" s="716"/>
      <c r="D88" s="716"/>
      <c r="E88" s="716"/>
      <c r="F88" s="717"/>
      <c r="G88" s="352"/>
      <c r="H88" s="709"/>
      <c r="I88" s="486"/>
      <c r="J88" s="486"/>
      <c r="K88" s="710"/>
      <c r="L88" s="222"/>
    </row>
    <row r="89" spans="1:12" s="451" customFormat="1">
      <c r="A89" s="706">
        <v>72</v>
      </c>
      <c r="B89" s="222"/>
      <c r="C89" s="716"/>
      <c r="D89" s="716"/>
      <c r="E89" s="716"/>
      <c r="F89" s="717"/>
      <c r="G89" s="352"/>
      <c r="H89" s="709"/>
      <c r="I89" s="486"/>
      <c r="J89" s="486"/>
      <c r="K89" s="710"/>
      <c r="L89" s="222"/>
    </row>
    <row r="90" spans="1:12" s="451" customFormat="1">
      <c r="A90" s="706">
        <v>73</v>
      </c>
      <c r="B90" s="222"/>
      <c r="C90" s="716"/>
      <c r="D90" s="716"/>
      <c r="E90" s="716"/>
      <c r="F90" s="717"/>
      <c r="G90" s="352"/>
      <c r="H90" s="709"/>
      <c r="I90" s="486"/>
      <c r="J90" s="486"/>
      <c r="K90" s="710"/>
      <c r="L90" s="222"/>
    </row>
    <row r="91" spans="1:12" s="451" customFormat="1">
      <c r="A91" s="706">
        <v>74</v>
      </c>
      <c r="B91" s="222"/>
      <c r="C91" s="716"/>
      <c r="D91" s="716"/>
      <c r="E91" s="716"/>
      <c r="F91" s="718"/>
      <c r="G91" s="352"/>
      <c r="H91" s="709"/>
      <c r="I91" s="486"/>
      <c r="J91" s="486"/>
      <c r="K91" s="710"/>
      <c r="L91" s="222"/>
    </row>
    <row r="92" spans="1:12" s="451" customFormat="1">
      <c r="A92" s="706">
        <v>75</v>
      </c>
      <c r="B92" s="222"/>
      <c r="C92" s="716"/>
      <c r="D92" s="716"/>
      <c r="E92" s="716"/>
      <c r="F92" s="718"/>
      <c r="G92" s="352"/>
      <c r="H92" s="709"/>
      <c r="I92" s="486"/>
      <c r="J92" s="486"/>
      <c r="K92" s="710"/>
      <c r="L92" s="222"/>
    </row>
    <row r="93" spans="1:12" s="222" customFormat="1" ht="14.45" customHeight="1">
      <c r="A93" s="706">
        <v>76</v>
      </c>
      <c r="C93" s="433"/>
      <c r="D93" s="433"/>
      <c r="E93" s="433"/>
      <c r="F93" s="719">
        <f>SUM(F83:F92)</f>
        <v>0</v>
      </c>
      <c r="G93" s="720" t="s">
        <v>640</v>
      </c>
      <c r="H93" s="746"/>
      <c r="I93" s="719">
        <f>F93*H93</f>
        <v>0</v>
      </c>
      <c r="J93" s="486"/>
      <c r="K93" s="710"/>
    </row>
    <row r="94" spans="1:12" s="222" customFormat="1">
      <c r="A94" s="706">
        <v>77</v>
      </c>
      <c r="C94" s="433"/>
      <c r="D94" s="433"/>
      <c r="E94" s="433"/>
      <c r="F94" s="722"/>
      <c r="G94" s="352"/>
      <c r="H94" s="709"/>
      <c r="I94" s="486"/>
      <c r="J94" s="486"/>
      <c r="K94" s="710"/>
    </row>
    <row r="95" spans="1:12" s="451" customFormat="1">
      <c r="A95" s="706">
        <v>78</v>
      </c>
      <c r="B95" s="222"/>
      <c r="C95" s="716" t="s">
        <v>782</v>
      </c>
      <c r="D95" s="271">
        <v>-13397412.043512899</v>
      </c>
      <c r="E95" s="271">
        <f>(D95/$D$12)*$E$12</f>
        <v>-22329020.072521497</v>
      </c>
      <c r="F95" s="271">
        <f t="shared" ref="F95:F104" si="2">D95-E95</f>
        <v>8931608.0290085971</v>
      </c>
      <c r="G95" s="712"/>
      <c r="H95" s="713"/>
      <c r="I95" s="486"/>
      <c r="J95" s="486"/>
      <c r="K95" s="710"/>
      <c r="L95" s="222"/>
    </row>
    <row r="96" spans="1:12" s="451" customFormat="1">
      <c r="A96" s="706">
        <v>79</v>
      </c>
      <c r="B96" s="222"/>
      <c r="C96" s="716" t="s">
        <v>789</v>
      </c>
      <c r="D96" s="271">
        <v>258627.88076999996</v>
      </c>
      <c r="E96" s="271">
        <f t="shared" ref="E96:E104" si="3">(D96/$D$12)*$E$12</f>
        <v>431046.4679499999</v>
      </c>
      <c r="F96" s="271">
        <f t="shared" si="2"/>
        <v>-172418.58717999994</v>
      </c>
      <c r="G96" s="712"/>
      <c r="H96" s="713"/>
      <c r="I96" s="486"/>
      <c r="J96" s="486"/>
      <c r="K96" s="710"/>
      <c r="L96" s="222"/>
    </row>
    <row r="97" spans="1:12" s="451" customFormat="1">
      <c r="A97" s="706">
        <v>80</v>
      </c>
      <c r="B97" s="222"/>
      <c r="C97" s="716" t="s">
        <v>790</v>
      </c>
      <c r="D97" s="271">
        <v>198510.9</v>
      </c>
      <c r="E97" s="271">
        <f t="shared" si="3"/>
        <v>330851.5</v>
      </c>
      <c r="F97" s="271">
        <f t="shared" si="2"/>
        <v>-132340.6</v>
      </c>
      <c r="G97" s="712"/>
      <c r="H97" s="713"/>
      <c r="I97" s="486"/>
      <c r="J97" s="486"/>
      <c r="K97" s="710"/>
      <c r="L97" s="222"/>
    </row>
    <row r="98" spans="1:12" s="451" customFormat="1">
      <c r="A98" s="706">
        <v>81</v>
      </c>
      <c r="B98" s="222"/>
      <c r="C98" s="716" t="s">
        <v>791</v>
      </c>
      <c r="D98" s="271">
        <v>204124.19999999998</v>
      </c>
      <c r="E98" s="271">
        <f t="shared" si="3"/>
        <v>340207</v>
      </c>
      <c r="F98" s="271">
        <f t="shared" si="2"/>
        <v>-136082.80000000002</v>
      </c>
      <c r="G98" s="712"/>
      <c r="H98" s="713"/>
      <c r="I98" s="486"/>
      <c r="J98" s="486"/>
      <c r="K98" s="710"/>
      <c r="L98" s="222"/>
    </row>
    <row r="99" spans="1:12" s="451" customFormat="1">
      <c r="A99" s="706">
        <v>82</v>
      </c>
      <c r="B99" s="222"/>
      <c r="C99" s="716" t="s">
        <v>792</v>
      </c>
      <c r="D99" s="271">
        <v>74161.975565547516</v>
      </c>
      <c r="E99" s="271">
        <f t="shared" si="3"/>
        <v>123603.29260924585</v>
      </c>
      <c r="F99" s="271">
        <f t="shared" si="2"/>
        <v>-49441.317043698335</v>
      </c>
      <c r="G99" s="712"/>
      <c r="H99" s="713"/>
      <c r="I99" s="486"/>
      <c r="J99" s="486"/>
      <c r="K99" s="710"/>
      <c r="L99" s="222"/>
    </row>
    <row r="100" spans="1:12" s="451" customFormat="1">
      <c r="A100" s="706">
        <v>83</v>
      </c>
      <c r="B100" s="222"/>
      <c r="C100" s="716" t="s">
        <v>793</v>
      </c>
      <c r="D100" s="271">
        <v>-54371.729999999996</v>
      </c>
      <c r="E100" s="271">
        <f t="shared" si="3"/>
        <v>-90619.549999999988</v>
      </c>
      <c r="F100" s="271">
        <f t="shared" si="2"/>
        <v>36247.819999999992</v>
      </c>
      <c r="G100" s="712"/>
      <c r="H100" s="713"/>
      <c r="I100" s="486"/>
      <c r="J100" s="486"/>
      <c r="K100" s="710"/>
      <c r="L100" s="222"/>
    </row>
    <row r="101" spans="1:12" s="451" customFormat="1">
      <c r="A101" s="706">
        <v>84</v>
      </c>
      <c r="B101" s="222"/>
      <c r="C101" s="716" t="s">
        <v>794</v>
      </c>
      <c r="D101" s="271">
        <v>-1651040.8336521536</v>
      </c>
      <c r="E101" s="271">
        <f t="shared" si="3"/>
        <v>-2751734.7227535895</v>
      </c>
      <c r="F101" s="271">
        <f t="shared" si="2"/>
        <v>1100693.8891014359</v>
      </c>
      <c r="G101" s="712"/>
      <c r="H101" s="713"/>
      <c r="I101" s="486"/>
      <c r="J101" s="486"/>
      <c r="K101" s="710"/>
      <c r="L101" s="222"/>
    </row>
    <row r="102" spans="1:12" s="451" customFormat="1">
      <c r="A102" s="706">
        <v>85</v>
      </c>
      <c r="B102" s="222"/>
      <c r="C102" s="716" t="s">
        <v>795</v>
      </c>
      <c r="D102" s="271">
        <v>-2611678.3524134993</v>
      </c>
      <c r="E102" s="271">
        <f t="shared" si="3"/>
        <v>-4352797.2540224986</v>
      </c>
      <c r="F102" s="271">
        <f t="shared" si="2"/>
        <v>1741118.9016089994</v>
      </c>
      <c r="G102" s="712"/>
      <c r="H102" s="713"/>
      <c r="I102" s="486"/>
      <c r="J102" s="486"/>
      <c r="K102" s="710"/>
      <c r="L102" s="222"/>
    </row>
    <row r="103" spans="1:12" s="451" customFormat="1">
      <c r="A103" s="706">
        <v>86</v>
      </c>
      <c r="B103" s="222"/>
      <c r="C103" s="716" t="s">
        <v>796</v>
      </c>
      <c r="D103" s="271">
        <v>-128726.65259999999</v>
      </c>
      <c r="E103" s="271">
        <f t="shared" si="3"/>
        <v>-214544.42099999997</v>
      </c>
      <c r="F103" s="271">
        <f t="shared" si="2"/>
        <v>85817.768399999986</v>
      </c>
      <c r="G103" s="712"/>
      <c r="H103" s="713"/>
      <c r="I103" s="486"/>
      <c r="J103" s="486"/>
      <c r="K103" s="710"/>
      <c r="L103" s="222"/>
    </row>
    <row r="104" spans="1:12" s="451" customFormat="1">
      <c r="A104" s="706">
        <v>87</v>
      </c>
      <c r="B104" s="222"/>
      <c r="C104" s="716" t="s">
        <v>797</v>
      </c>
      <c r="D104" s="271">
        <v>-170470.21318807366</v>
      </c>
      <c r="E104" s="271">
        <f t="shared" si="3"/>
        <v>-284117.02198012272</v>
      </c>
      <c r="F104" s="271">
        <f t="shared" si="2"/>
        <v>113646.80879204907</v>
      </c>
      <c r="G104" s="352"/>
      <c r="H104" s="709"/>
      <c r="I104" s="486"/>
      <c r="J104" s="486"/>
      <c r="K104" s="710"/>
      <c r="L104" s="222"/>
    </row>
    <row r="105" spans="1:12" s="451" customFormat="1">
      <c r="A105" s="706">
        <v>88</v>
      </c>
      <c r="B105" s="222"/>
      <c r="C105" s="433"/>
      <c r="D105" s="433"/>
      <c r="E105" s="433"/>
      <c r="F105" s="719">
        <f>SUM(F95:F104)</f>
        <v>11518849.912687385</v>
      </c>
      <c r="G105" s="726" t="s">
        <v>641</v>
      </c>
      <c r="H105" s="725">
        <v>0.34081175033465844</v>
      </c>
      <c r="I105" s="719">
        <f>F105*H105</f>
        <v>3925759.4005852155</v>
      </c>
      <c r="J105" s="486"/>
      <c r="K105" s="710"/>
      <c r="L105" s="222"/>
    </row>
    <row r="106" spans="1:12" s="222" customFormat="1" ht="14.45" customHeight="1">
      <c r="A106" s="706">
        <v>89</v>
      </c>
      <c r="C106" s="433"/>
      <c r="D106" s="433"/>
      <c r="E106" s="433"/>
      <c r="J106" s="486"/>
      <c r="K106" s="710"/>
    </row>
    <row r="107" spans="1:12" s="451" customFormat="1">
      <c r="A107" s="706">
        <v>90</v>
      </c>
      <c r="B107" s="222"/>
      <c r="C107" s="716"/>
      <c r="D107" s="716"/>
      <c r="E107" s="271"/>
      <c r="F107" s="271"/>
      <c r="G107" s="352"/>
      <c r="H107" s="709"/>
      <c r="I107" s="486"/>
      <c r="J107" s="486"/>
      <c r="K107" s="710"/>
      <c r="L107" s="222"/>
    </row>
    <row r="108" spans="1:12" s="451" customFormat="1">
      <c r="A108" s="706">
        <v>91</v>
      </c>
      <c r="B108" s="222"/>
      <c r="C108" s="716"/>
      <c r="D108" s="716"/>
      <c r="E108" s="716"/>
      <c r="F108" s="718"/>
      <c r="G108" s="352"/>
      <c r="H108" s="709"/>
      <c r="I108" s="486"/>
      <c r="J108" s="486"/>
      <c r="K108" s="710"/>
      <c r="L108" s="222"/>
    </row>
    <row r="109" spans="1:12" s="451" customFormat="1">
      <c r="A109" s="706">
        <v>92</v>
      </c>
      <c r="B109" s="222"/>
      <c r="C109" s="716"/>
      <c r="D109" s="716"/>
      <c r="E109" s="716"/>
      <c r="F109" s="718"/>
      <c r="G109" s="352"/>
      <c r="H109" s="709"/>
      <c r="I109" s="486"/>
      <c r="J109" s="486"/>
      <c r="K109" s="710"/>
      <c r="L109" s="222"/>
    </row>
    <row r="110" spans="1:12" s="451" customFormat="1">
      <c r="A110" s="706">
        <v>93</v>
      </c>
      <c r="B110" s="222"/>
      <c r="C110" s="716"/>
      <c r="D110" s="716"/>
      <c r="E110" s="716"/>
      <c r="F110" s="718"/>
      <c r="G110" s="352"/>
      <c r="H110" s="709"/>
      <c r="I110" s="486"/>
      <c r="J110" s="486"/>
      <c r="K110" s="710"/>
      <c r="L110" s="222"/>
    </row>
    <row r="111" spans="1:12" s="451" customFormat="1">
      <c r="A111" s="706">
        <v>94</v>
      </c>
      <c r="B111" s="222"/>
      <c r="C111" s="716"/>
      <c r="D111" s="716"/>
      <c r="E111" s="716"/>
      <c r="F111" s="718"/>
      <c r="G111" s="352"/>
      <c r="H111" s="709"/>
      <c r="I111" s="486"/>
      <c r="J111" s="486"/>
      <c r="K111" s="710"/>
      <c r="L111" s="222"/>
    </row>
    <row r="112" spans="1:12" s="451" customFormat="1">
      <c r="A112" s="706">
        <v>95</v>
      </c>
      <c r="B112" s="222"/>
      <c r="C112" s="716"/>
      <c r="D112" s="716"/>
      <c r="E112" s="716"/>
      <c r="F112" s="718"/>
      <c r="G112" s="352"/>
      <c r="H112" s="709"/>
      <c r="I112" s="486"/>
      <c r="J112" s="486"/>
      <c r="K112" s="710"/>
      <c r="L112" s="222"/>
    </row>
    <row r="113" spans="1:12" s="451" customFormat="1">
      <c r="A113" s="706">
        <v>96</v>
      </c>
      <c r="B113" s="222"/>
      <c r="C113" s="716"/>
      <c r="D113" s="716"/>
      <c r="E113" s="716"/>
      <c r="F113" s="718"/>
      <c r="G113" s="352"/>
      <c r="H113" s="709"/>
      <c r="I113" s="486"/>
      <c r="J113" s="486"/>
      <c r="K113" s="710"/>
      <c r="L113" s="222"/>
    </row>
    <row r="114" spans="1:12" s="451" customFormat="1">
      <c r="A114" s="706">
        <v>97</v>
      </c>
      <c r="B114" s="222"/>
      <c r="C114" s="716"/>
      <c r="D114" s="716"/>
      <c r="E114" s="716"/>
      <c r="F114" s="718"/>
      <c r="G114" s="352"/>
      <c r="H114" s="709"/>
      <c r="I114" s="486"/>
      <c r="J114" s="486"/>
      <c r="K114" s="710"/>
      <c r="L114" s="222"/>
    </row>
    <row r="115" spans="1:12" s="451" customFormat="1">
      <c r="A115" s="706">
        <v>98</v>
      </c>
      <c r="B115" s="222"/>
      <c r="C115" s="716"/>
      <c r="D115" s="716"/>
      <c r="E115" s="716"/>
      <c r="F115" s="718"/>
      <c r="G115" s="352"/>
      <c r="H115" s="709"/>
      <c r="I115" s="486"/>
      <c r="J115" s="486"/>
      <c r="K115" s="710"/>
      <c r="L115" s="222"/>
    </row>
    <row r="116" spans="1:12" s="451" customFormat="1">
      <c r="A116" s="706">
        <v>99</v>
      </c>
      <c r="B116" s="222"/>
      <c r="C116" s="716"/>
      <c r="D116" s="716"/>
      <c r="E116" s="716"/>
      <c r="F116" s="718"/>
      <c r="G116" s="352"/>
      <c r="H116" s="709"/>
      <c r="I116" s="486"/>
      <c r="J116" s="486"/>
      <c r="K116" s="710"/>
      <c r="L116" s="222"/>
    </row>
    <row r="117" spans="1:12" s="222" customFormat="1" ht="14.45" customHeight="1">
      <c r="A117" s="706">
        <v>100</v>
      </c>
      <c r="C117" s="433"/>
      <c r="D117" s="433"/>
      <c r="E117" s="433"/>
      <c r="F117" s="719">
        <f>SUM(F107:F116)</f>
        <v>0</v>
      </c>
      <c r="G117" s="726" t="s">
        <v>642</v>
      </c>
      <c r="H117" s="725"/>
      <c r="I117" s="719">
        <f>F117*H117</f>
        <v>0</v>
      </c>
      <c r="J117" s="486"/>
      <c r="K117" s="710"/>
    </row>
    <row r="118" spans="1:12" s="451" customFormat="1">
      <c r="A118" s="706">
        <v>101</v>
      </c>
      <c r="B118" s="222"/>
      <c r="C118" s="222"/>
      <c r="D118" s="222"/>
      <c r="E118" s="222"/>
      <c r="F118" s="486"/>
      <c r="G118" s="352"/>
      <c r="H118" s="709"/>
      <c r="I118" s="486"/>
      <c r="J118" s="486"/>
      <c r="K118" s="710"/>
      <c r="L118" s="222"/>
    </row>
    <row r="119" spans="1:12" s="451" customFormat="1">
      <c r="A119" s="706">
        <v>102</v>
      </c>
      <c r="B119" s="222" t="s">
        <v>276</v>
      </c>
      <c r="C119" s="222"/>
      <c r="D119" s="222"/>
      <c r="E119" s="222"/>
      <c r="F119" s="486"/>
      <c r="G119" s="352"/>
      <c r="H119" s="709"/>
      <c r="I119" s="486"/>
      <c r="J119" s="486"/>
      <c r="K119" s="710"/>
      <c r="L119" s="222"/>
    </row>
    <row r="120" spans="1:12" s="451" customFormat="1">
      <c r="A120" s="706">
        <v>103</v>
      </c>
      <c r="B120" s="222"/>
      <c r="C120" s="711"/>
      <c r="D120" s="362"/>
      <c r="E120" s="271"/>
      <c r="F120" s="271"/>
      <c r="G120" s="712"/>
      <c r="H120" s="713"/>
      <c r="I120" s="486"/>
      <c r="J120" s="486"/>
      <c r="K120" s="710"/>
      <c r="L120" s="222"/>
    </row>
    <row r="121" spans="1:12" s="451" customFormat="1">
      <c r="A121" s="706">
        <v>104</v>
      </c>
      <c r="B121" s="222"/>
      <c r="C121" s="711"/>
      <c r="D121" s="362"/>
      <c r="E121" s="362"/>
      <c r="F121" s="714"/>
      <c r="G121" s="439"/>
      <c r="H121" s="713"/>
      <c r="I121" s="486"/>
      <c r="J121" s="486"/>
      <c r="K121" s="710"/>
      <c r="L121" s="222"/>
    </row>
    <row r="122" spans="1:12" s="451" customFormat="1">
      <c r="A122" s="706">
        <v>105</v>
      </c>
      <c r="B122" s="222"/>
      <c r="C122" s="715"/>
      <c r="D122" s="362"/>
      <c r="E122" s="362"/>
      <c r="F122" s="714"/>
      <c r="G122" s="439"/>
      <c r="H122" s="713"/>
      <c r="I122" s="486"/>
      <c r="J122" s="486"/>
      <c r="K122" s="710"/>
      <c r="L122" s="222"/>
    </row>
    <row r="123" spans="1:12" s="451" customFormat="1">
      <c r="A123" s="706">
        <v>106</v>
      </c>
      <c r="B123" s="222"/>
      <c r="C123" s="716"/>
      <c r="D123" s="362"/>
      <c r="E123" s="362"/>
      <c r="F123" s="717"/>
      <c r="G123" s="222"/>
      <c r="H123" s="222"/>
      <c r="I123" s="486"/>
      <c r="J123" s="486"/>
      <c r="K123" s="710"/>
      <c r="L123" s="222"/>
    </row>
    <row r="124" spans="1:12" s="451" customFormat="1">
      <c r="A124" s="706">
        <v>107</v>
      </c>
      <c r="B124" s="222"/>
      <c r="C124" s="716"/>
      <c r="D124" s="716"/>
      <c r="E124" s="716"/>
      <c r="F124" s="717"/>
      <c r="G124" s="352"/>
      <c r="H124" s="709"/>
      <c r="I124" s="486"/>
      <c r="J124" s="486"/>
      <c r="K124" s="710"/>
      <c r="L124" s="222"/>
    </row>
    <row r="125" spans="1:12" s="451" customFormat="1">
      <c r="A125" s="706">
        <v>108</v>
      </c>
      <c r="B125" s="222"/>
      <c r="C125" s="716"/>
      <c r="D125" s="716"/>
      <c r="E125" s="716"/>
      <c r="F125" s="717"/>
      <c r="G125" s="352"/>
      <c r="H125" s="709"/>
      <c r="I125" s="486"/>
      <c r="J125" s="486"/>
      <c r="K125" s="710"/>
      <c r="L125" s="222"/>
    </row>
    <row r="126" spans="1:12" s="451" customFormat="1">
      <c r="A126" s="706">
        <v>109</v>
      </c>
      <c r="B126" s="222"/>
      <c r="C126" s="716"/>
      <c r="D126" s="716"/>
      <c r="E126" s="716"/>
      <c r="F126" s="717"/>
      <c r="G126" s="352"/>
      <c r="H126" s="709"/>
      <c r="I126" s="486"/>
      <c r="J126" s="486"/>
      <c r="K126" s="710"/>
      <c r="L126" s="222"/>
    </row>
    <row r="127" spans="1:12" s="451" customFormat="1">
      <c r="A127" s="706">
        <v>110</v>
      </c>
      <c r="B127" s="222"/>
      <c r="C127" s="716"/>
      <c r="D127" s="716"/>
      <c r="E127" s="716"/>
      <c r="F127" s="717"/>
      <c r="G127" s="352"/>
      <c r="H127" s="709"/>
      <c r="I127" s="486"/>
      <c r="J127" s="486"/>
      <c r="K127" s="710"/>
      <c r="L127" s="222"/>
    </row>
    <row r="128" spans="1:12" s="451" customFormat="1">
      <c r="A128" s="706">
        <v>111</v>
      </c>
      <c r="B128" s="222"/>
      <c r="C128" s="716"/>
      <c r="D128" s="716"/>
      <c r="E128" s="716"/>
      <c r="F128" s="718"/>
      <c r="G128" s="352"/>
      <c r="H128" s="709"/>
      <c r="I128" s="486"/>
      <c r="J128" s="486"/>
      <c r="K128" s="710"/>
      <c r="L128" s="222"/>
    </row>
    <row r="129" spans="1:12" s="451" customFormat="1">
      <c r="A129" s="706">
        <v>112</v>
      </c>
      <c r="B129" s="222"/>
      <c r="C129" s="716"/>
      <c r="D129" s="716"/>
      <c r="E129" s="716"/>
      <c r="F129" s="718"/>
      <c r="G129" s="352"/>
      <c r="H129" s="709"/>
      <c r="I129" s="486"/>
      <c r="J129" s="486"/>
      <c r="K129" s="710"/>
      <c r="L129" s="222"/>
    </row>
    <row r="130" spans="1:12" s="222" customFormat="1" ht="14.45" customHeight="1">
      <c r="A130" s="706">
        <v>113</v>
      </c>
      <c r="C130" s="433"/>
      <c r="D130" s="433"/>
      <c r="E130" s="433"/>
      <c r="F130" s="719">
        <f>SUM(F120:F129)</f>
        <v>0</v>
      </c>
      <c r="G130" s="720" t="s">
        <v>1150</v>
      </c>
      <c r="H130" s="721">
        <v>1</v>
      </c>
      <c r="I130" s="719">
        <f>F130*H130</f>
        <v>0</v>
      </c>
      <c r="J130" s="486"/>
      <c r="K130" s="710"/>
    </row>
    <row r="131" spans="1:12" s="222" customFormat="1">
      <c r="A131" s="706">
        <v>114</v>
      </c>
      <c r="C131" s="433"/>
      <c r="D131" s="433"/>
      <c r="E131" s="433"/>
      <c r="F131" s="722"/>
      <c r="G131" s="352"/>
      <c r="H131" s="709"/>
      <c r="I131" s="486"/>
      <c r="J131" s="486"/>
      <c r="K131" s="710"/>
    </row>
    <row r="132" spans="1:12" s="451" customFormat="1">
      <c r="A132" s="706">
        <v>115</v>
      </c>
      <c r="B132" s="222"/>
      <c r="C132" s="724" t="s">
        <v>783</v>
      </c>
      <c r="D132" s="271">
        <v>-199720.96196858783</v>
      </c>
      <c r="E132" s="271">
        <f>(D132/$D$14)*$E$14</f>
        <v>-290486.58487338101</v>
      </c>
      <c r="F132" s="271">
        <f>D132-E132</f>
        <v>90765.622904793185</v>
      </c>
      <c r="G132" s="439"/>
      <c r="H132" s="713"/>
      <c r="I132" s="486"/>
      <c r="J132" s="486"/>
      <c r="K132" s="710"/>
      <c r="L132" s="222"/>
    </row>
    <row r="133" spans="1:12" s="451" customFormat="1">
      <c r="A133" s="706">
        <v>116</v>
      </c>
      <c r="B133" s="222"/>
      <c r="C133" s="724" t="s">
        <v>784</v>
      </c>
      <c r="D133" s="271">
        <v>-1048676.0571547877</v>
      </c>
      <c r="E133" s="271">
        <f>(D133/$D$14)*$E$14</f>
        <v>-1525259.6596710191</v>
      </c>
      <c r="F133" s="271">
        <f>D133-E133</f>
        <v>476583.60251623136</v>
      </c>
      <c r="G133" s="439"/>
      <c r="H133" s="713"/>
      <c r="I133" s="486"/>
      <c r="J133" s="486"/>
      <c r="K133" s="710"/>
      <c r="L133" s="222"/>
    </row>
    <row r="134" spans="1:12" s="451" customFormat="1">
      <c r="A134" s="706">
        <v>117</v>
      </c>
      <c r="B134" s="222"/>
      <c r="C134" s="716"/>
      <c r="D134" s="716"/>
      <c r="E134" s="716"/>
      <c r="F134" s="717"/>
      <c r="G134" s="439"/>
      <c r="H134" s="713"/>
      <c r="I134" s="486"/>
      <c r="J134" s="486"/>
      <c r="K134" s="710"/>
      <c r="L134" s="222"/>
    </row>
    <row r="135" spans="1:12" s="451" customFormat="1">
      <c r="A135" s="706">
        <v>118</v>
      </c>
      <c r="B135" s="222"/>
      <c r="C135" s="716"/>
      <c r="D135" s="716"/>
      <c r="E135" s="716"/>
      <c r="F135" s="717"/>
      <c r="G135" s="222"/>
      <c r="H135" s="222"/>
      <c r="I135" s="486"/>
      <c r="J135" s="486"/>
      <c r="K135" s="710"/>
      <c r="L135" s="222"/>
    </row>
    <row r="136" spans="1:12" s="451" customFormat="1">
      <c r="A136" s="706">
        <v>119</v>
      </c>
      <c r="B136" s="222"/>
      <c r="C136" s="716"/>
      <c r="D136" s="716"/>
      <c r="E136" s="716"/>
      <c r="F136" s="717"/>
      <c r="G136" s="352"/>
      <c r="H136" s="709"/>
      <c r="I136" s="486"/>
      <c r="J136" s="486"/>
      <c r="K136" s="710"/>
      <c r="L136" s="222"/>
    </row>
    <row r="137" spans="1:12" s="451" customFormat="1">
      <c r="A137" s="706">
        <v>120</v>
      </c>
      <c r="B137" s="222"/>
      <c r="C137" s="716"/>
      <c r="D137" s="716"/>
      <c r="E137" s="716"/>
      <c r="F137" s="717"/>
      <c r="G137" s="352"/>
      <c r="H137" s="709"/>
      <c r="I137" s="486"/>
      <c r="J137" s="486"/>
      <c r="K137" s="710"/>
      <c r="L137" s="222"/>
    </row>
    <row r="138" spans="1:12" s="451" customFormat="1">
      <c r="A138" s="706">
        <v>121</v>
      </c>
      <c r="B138" s="222"/>
      <c r="C138" s="716"/>
      <c r="D138" s="716"/>
      <c r="E138" s="716"/>
      <c r="F138" s="717"/>
      <c r="G138" s="352"/>
      <c r="H138" s="709"/>
      <c r="I138" s="486"/>
      <c r="J138" s="486"/>
      <c r="K138" s="710"/>
      <c r="L138" s="222"/>
    </row>
    <row r="139" spans="1:12" s="451" customFormat="1">
      <c r="A139" s="706">
        <v>122</v>
      </c>
      <c r="B139" s="222"/>
      <c r="C139" s="716"/>
      <c r="D139" s="716"/>
      <c r="E139" s="716"/>
      <c r="F139" s="717"/>
      <c r="G139" s="352"/>
      <c r="H139" s="709"/>
      <c r="I139" s="486"/>
      <c r="J139" s="486"/>
      <c r="K139" s="710"/>
      <c r="L139" s="222"/>
    </row>
    <row r="140" spans="1:12" s="451" customFormat="1">
      <c r="A140" s="706">
        <v>123</v>
      </c>
      <c r="B140" s="222"/>
      <c r="C140" s="716"/>
      <c r="D140" s="716"/>
      <c r="E140" s="716"/>
      <c r="F140" s="718"/>
      <c r="G140" s="352"/>
      <c r="H140" s="709"/>
      <c r="I140" s="486"/>
      <c r="J140" s="486"/>
      <c r="K140" s="710"/>
      <c r="L140" s="222"/>
    </row>
    <row r="141" spans="1:12" s="451" customFormat="1">
      <c r="A141" s="706">
        <v>124</v>
      </c>
      <c r="B141" s="222"/>
      <c r="C141" s="716"/>
      <c r="D141" s="716"/>
      <c r="E141" s="716"/>
      <c r="F141" s="718"/>
      <c r="G141" s="352"/>
      <c r="H141" s="709"/>
      <c r="I141" s="486"/>
      <c r="J141" s="486"/>
      <c r="K141" s="710"/>
      <c r="L141" s="222"/>
    </row>
    <row r="142" spans="1:12" s="222" customFormat="1" ht="14.45" customHeight="1">
      <c r="A142" s="706">
        <v>125</v>
      </c>
      <c r="C142" s="433"/>
      <c r="D142" s="433"/>
      <c r="E142" s="433"/>
      <c r="F142" s="719">
        <f>SUM(F132:F141)</f>
        <v>567349.22542102449</v>
      </c>
      <c r="G142" s="720" t="s">
        <v>640</v>
      </c>
      <c r="H142" s="746">
        <v>0.1140949301726389</v>
      </c>
      <c r="I142" s="719">
        <f>F142*H142</f>
        <v>64731.670257912556</v>
      </c>
      <c r="J142" s="486"/>
      <c r="K142" s="710"/>
    </row>
    <row r="143" spans="1:12" s="222" customFormat="1" ht="14.45" customHeight="1">
      <c r="A143" s="706">
        <v>126</v>
      </c>
      <c r="C143" s="433"/>
      <c r="D143" s="433"/>
      <c r="E143" s="433"/>
      <c r="F143" s="722"/>
      <c r="G143" s="439"/>
      <c r="H143" s="713"/>
      <c r="I143" s="722"/>
      <c r="J143" s="486"/>
      <c r="K143" s="710"/>
    </row>
    <row r="144" spans="1:12" s="451" customFormat="1">
      <c r="A144" s="706">
        <v>127</v>
      </c>
      <c r="B144" s="222"/>
      <c r="C144" s="724" t="s">
        <v>785</v>
      </c>
      <c r="D144" s="271">
        <v>-12597.044321909416</v>
      </c>
      <c r="E144" s="271">
        <f>(D144/$D$14)*$E$14</f>
        <v>-18321.924491559443</v>
      </c>
      <c r="F144" s="271">
        <f>D144-E144</f>
        <v>5724.8801696500268</v>
      </c>
      <c r="G144" s="439"/>
      <c r="H144" s="713"/>
      <c r="I144" s="486"/>
      <c r="J144" s="486"/>
      <c r="K144" s="710"/>
      <c r="L144" s="222"/>
    </row>
    <row r="145" spans="1:12" s="451" customFormat="1">
      <c r="A145" s="706">
        <v>128</v>
      </c>
      <c r="B145" s="222"/>
      <c r="C145" s="716"/>
      <c r="D145" s="716"/>
      <c r="E145" s="716"/>
      <c r="F145" s="718"/>
      <c r="G145" s="352"/>
      <c r="H145" s="709"/>
      <c r="I145" s="486"/>
      <c r="J145" s="486"/>
      <c r="K145" s="710"/>
      <c r="L145" s="222"/>
    </row>
    <row r="146" spans="1:12" s="451" customFormat="1">
      <c r="A146" s="706">
        <v>129</v>
      </c>
      <c r="B146" s="222"/>
      <c r="C146" s="716"/>
      <c r="D146" s="716"/>
      <c r="E146" s="716"/>
      <c r="F146" s="718"/>
      <c r="G146" s="352"/>
      <c r="H146" s="709"/>
      <c r="I146" s="486"/>
      <c r="J146" s="486"/>
      <c r="K146" s="710"/>
      <c r="L146" s="222"/>
    </row>
    <row r="147" spans="1:12" s="451" customFormat="1">
      <c r="A147" s="706">
        <v>130</v>
      </c>
      <c r="B147" s="222"/>
      <c r="C147" s="716"/>
      <c r="D147" s="716"/>
      <c r="E147" s="716"/>
      <c r="F147" s="718"/>
      <c r="G147" s="352"/>
      <c r="H147" s="709"/>
      <c r="I147" s="486"/>
      <c r="J147" s="486"/>
      <c r="K147" s="710"/>
      <c r="L147" s="222"/>
    </row>
    <row r="148" spans="1:12" s="451" customFormat="1">
      <c r="A148" s="706">
        <v>131</v>
      </c>
      <c r="B148" s="222"/>
      <c r="C148" s="716"/>
      <c r="D148" s="716"/>
      <c r="E148" s="716"/>
      <c r="F148" s="718"/>
      <c r="G148" s="352"/>
      <c r="H148" s="709"/>
      <c r="I148" s="486"/>
      <c r="J148" s="486"/>
      <c r="K148" s="710"/>
      <c r="L148" s="222"/>
    </row>
    <row r="149" spans="1:12" s="451" customFormat="1">
      <c r="A149" s="706">
        <v>132</v>
      </c>
      <c r="B149" s="222"/>
      <c r="C149" s="716"/>
      <c r="D149" s="716"/>
      <c r="E149" s="716"/>
      <c r="F149" s="718"/>
      <c r="G149" s="352"/>
      <c r="H149" s="709"/>
      <c r="I149" s="486"/>
      <c r="J149" s="486"/>
      <c r="K149" s="710"/>
      <c r="L149" s="222"/>
    </row>
    <row r="150" spans="1:12" s="451" customFormat="1">
      <c r="A150" s="706">
        <v>133</v>
      </c>
      <c r="B150" s="222"/>
      <c r="C150" s="716"/>
      <c r="D150" s="716"/>
      <c r="E150" s="716"/>
      <c r="F150" s="718"/>
      <c r="G150" s="352"/>
      <c r="H150" s="709"/>
      <c r="I150" s="486"/>
      <c r="J150" s="486"/>
      <c r="K150" s="710"/>
      <c r="L150" s="222"/>
    </row>
    <row r="151" spans="1:12" s="451" customFormat="1">
      <c r="A151" s="706">
        <v>134</v>
      </c>
      <c r="B151" s="222"/>
      <c r="C151" s="716"/>
      <c r="D151" s="716"/>
      <c r="E151" s="716"/>
      <c r="F151" s="718"/>
      <c r="G151" s="352"/>
      <c r="H151" s="709"/>
      <c r="I151" s="486"/>
      <c r="J151" s="486"/>
      <c r="K151" s="710"/>
      <c r="L151" s="222"/>
    </row>
    <row r="152" spans="1:12" s="451" customFormat="1">
      <c r="A152" s="706">
        <v>135</v>
      </c>
      <c r="B152" s="222"/>
      <c r="C152" s="716"/>
      <c r="D152" s="716"/>
      <c r="E152" s="716"/>
      <c r="F152" s="718"/>
      <c r="G152" s="352"/>
      <c r="H152" s="709"/>
      <c r="I152" s="486"/>
      <c r="J152" s="486"/>
      <c r="K152" s="710"/>
      <c r="L152" s="222"/>
    </row>
    <row r="153" spans="1:12" s="451" customFormat="1">
      <c r="A153" s="706">
        <v>136</v>
      </c>
      <c r="B153" s="222"/>
      <c r="C153" s="716"/>
      <c r="D153" s="716"/>
      <c r="E153" s="716"/>
      <c r="F153" s="718"/>
      <c r="G153" s="352"/>
      <c r="H153" s="709"/>
      <c r="I153" s="486"/>
      <c r="J153" s="486"/>
      <c r="K153" s="710"/>
      <c r="L153" s="222"/>
    </row>
    <row r="154" spans="1:12" s="222" customFormat="1" ht="14.45" customHeight="1">
      <c r="A154" s="706">
        <v>137</v>
      </c>
      <c r="C154" s="433"/>
      <c r="D154" s="433"/>
      <c r="E154" s="433"/>
      <c r="F154" s="719">
        <f>SUM(F144:F153)</f>
        <v>5724.8801696500268</v>
      </c>
      <c r="G154" s="726" t="s">
        <v>641</v>
      </c>
      <c r="H154" s="725">
        <v>0.34081175033465844</v>
      </c>
      <c r="I154" s="719">
        <f>F154*H154</f>
        <v>1951.1064310746019</v>
      </c>
      <c r="J154" s="486"/>
      <c r="K154" s="710"/>
    </row>
    <row r="155" spans="1:12" s="222" customFormat="1">
      <c r="A155" s="706">
        <v>138</v>
      </c>
      <c r="C155" s="433"/>
      <c r="D155" s="433"/>
      <c r="E155" s="433"/>
      <c r="F155" s="722"/>
      <c r="G155" s="352"/>
      <c r="H155" s="709"/>
      <c r="I155" s="486"/>
      <c r="J155" s="486"/>
      <c r="K155" s="710"/>
    </row>
    <row r="156" spans="1:12" s="451" customFormat="1">
      <c r="A156" s="706">
        <v>139</v>
      </c>
      <c r="B156" s="222"/>
      <c r="C156" s="716"/>
      <c r="D156" s="716"/>
      <c r="E156" s="271"/>
      <c r="F156" s="271"/>
      <c r="G156" s="352"/>
      <c r="H156" s="709"/>
      <c r="I156" s="486"/>
      <c r="J156" s="486"/>
      <c r="K156" s="710"/>
      <c r="L156" s="222"/>
    </row>
    <row r="157" spans="1:12" s="451" customFormat="1">
      <c r="A157" s="706">
        <v>140</v>
      </c>
      <c r="B157" s="222"/>
      <c r="C157" s="716"/>
      <c r="D157" s="716"/>
      <c r="E157" s="716"/>
      <c r="F157" s="718"/>
      <c r="G157" s="352"/>
      <c r="H157" s="709"/>
      <c r="I157" s="486"/>
      <c r="J157" s="486"/>
      <c r="K157" s="710"/>
      <c r="L157" s="222"/>
    </row>
    <row r="158" spans="1:12" s="451" customFormat="1">
      <c r="A158" s="706">
        <v>141</v>
      </c>
      <c r="B158" s="222"/>
      <c r="C158" s="716"/>
      <c r="D158" s="716"/>
      <c r="E158" s="716"/>
      <c r="F158" s="718"/>
      <c r="G158" s="352"/>
      <c r="H158" s="709"/>
      <c r="I158" s="486"/>
      <c r="J158" s="486"/>
      <c r="K158" s="710"/>
      <c r="L158" s="222"/>
    </row>
    <row r="159" spans="1:12" s="451" customFormat="1">
      <c r="A159" s="706">
        <v>142</v>
      </c>
      <c r="B159" s="222"/>
      <c r="C159" s="716"/>
      <c r="D159" s="716"/>
      <c r="E159" s="716"/>
      <c r="F159" s="718"/>
      <c r="G159" s="352"/>
      <c r="H159" s="709"/>
      <c r="I159" s="486"/>
      <c r="J159" s="486"/>
      <c r="K159" s="710"/>
      <c r="L159" s="222"/>
    </row>
    <row r="160" spans="1:12" s="451" customFormat="1">
      <c r="A160" s="706">
        <v>143</v>
      </c>
      <c r="B160" s="222"/>
      <c r="C160" s="716"/>
      <c r="D160" s="716"/>
      <c r="E160" s="716"/>
      <c r="F160" s="718"/>
      <c r="G160" s="352"/>
      <c r="H160" s="709"/>
      <c r="I160" s="486"/>
      <c r="J160" s="486"/>
      <c r="K160" s="710"/>
      <c r="L160" s="222"/>
    </row>
    <row r="161" spans="1:12" s="451" customFormat="1">
      <c r="A161" s="706">
        <v>144</v>
      </c>
      <c r="B161" s="222"/>
      <c r="C161" s="716"/>
      <c r="D161" s="716"/>
      <c r="E161" s="716"/>
      <c r="F161" s="718"/>
      <c r="G161" s="352"/>
      <c r="H161" s="709"/>
      <c r="I161" s="486"/>
      <c r="J161" s="486"/>
      <c r="K161" s="710"/>
      <c r="L161" s="222"/>
    </row>
    <row r="162" spans="1:12" s="451" customFormat="1">
      <c r="A162" s="706">
        <v>145</v>
      </c>
      <c r="B162" s="222"/>
      <c r="C162" s="716"/>
      <c r="D162" s="716"/>
      <c r="E162" s="716"/>
      <c r="F162" s="718"/>
      <c r="G162" s="352"/>
      <c r="H162" s="709"/>
      <c r="I162" s="486"/>
      <c r="J162" s="486"/>
      <c r="K162" s="710"/>
      <c r="L162" s="222"/>
    </row>
    <row r="163" spans="1:12" s="451" customFormat="1">
      <c r="A163" s="706">
        <v>146</v>
      </c>
      <c r="B163" s="222"/>
      <c r="C163" s="716"/>
      <c r="D163" s="716"/>
      <c r="E163" s="716"/>
      <c r="F163" s="718"/>
      <c r="G163" s="352"/>
      <c r="H163" s="709"/>
      <c r="I163" s="486"/>
      <c r="J163" s="486"/>
      <c r="K163" s="710"/>
      <c r="L163" s="222"/>
    </row>
    <row r="164" spans="1:12" s="451" customFormat="1">
      <c r="A164" s="706">
        <v>147</v>
      </c>
      <c r="B164" s="222"/>
      <c r="C164" s="716"/>
      <c r="D164" s="716"/>
      <c r="E164" s="716"/>
      <c r="F164" s="718"/>
      <c r="G164" s="352"/>
      <c r="H164" s="709"/>
      <c r="I164" s="486"/>
      <c r="J164" s="486"/>
      <c r="K164" s="710"/>
      <c r="L164" s="222"/>
    </row>
    <row r="165" spans="1:12" s="451" customFormat="1">
      <c r="A165" s="706">
        <v>148</v>
      </c>
      <c r="B165" s="222"/>
      <c r="C165" s="716"/>
      <c r="D165" s="716"/>
      <c r="E165" s="716"/>
      <c r="F165" s="718"/>
      <c r="G165" s="352"/>
      <c r="H165" s="709"/>
      <c r="I165" s="486"/>
      <c r="J165" s="486"/>
      <c r="K165" s="710"/>
      <c r="L165" s="222"/>
    </row>
    <row r="166" spans="1:12" s="222" customFormat="1" ht="14.45" customHeight="1">
      <c r="A166" s="706">
        <v>149</v>
      </c>
      <c r="C166" s="433"/>
      <c r="D166" s="433"/>
      <c r="E166" s="433"/>
      <c r="F166" s="719">
        <f>SUM(F156:F165)</f>
        <v>0</v>
      </c>
      <c r="G166" s="726" t="s">
        <v>642</v>
      </c>
      <c r="H166" s="725"/>
      <c r="I166" s="719">
        <f>F166*H166</f>
        <v>0</v>
      </c>
      <c r="J166" s="486"/>
      <c r="K166" s="710"/>
    </row>
    <row r="167" spans="1:12" s="222" customFormat="1" ht="14.45" customHeight="1">
      <c r="A167" s="706">
        <v>150</v>
      </c>
      <c r="C167" s="433"/>
      <c r="D167" s="433"/>
      <c r="E167" s="433"/>
      <c r="F167" s="722"/>
      <c r="G167" s="712"/>
      <c r="H167" s="713"/>
      <c r="I167" s="722"/>
      <c r="J167" s="486"/>
      <c r="K167" s="710"/>
    </row>
    <row r="168" spans="1:12" s="451" customFormat="1">
      <c r="A168" s="706">
        <v>151</v>
      </c>
      <c r="B168" s="222"/>
      <c r="C168" s="730" t="s">
        <v>1040</v>
      </c>
      <c r="D168" s="730"/>
      <c r="E168" s="730"/>
      <c r="F168" s="731"/>
      <c r="G168" s="732"/>
      <c r="H168" s="733"/>
      <c r="I168" s="734">
        <f>SUM(I22:I166)</f>
        <v>3888381.3932319223</v>
      </c>
      <c r="J168" s="722"/>
      <c r="K168" s="710" t="s">
        <v>1151</v>
      </c>
      <c r="L168" s="222"/>
    </row>
    <row r="169" spans="1:12" s="451" customFormat="1">
      <c r="J169" s="222"/>
      <c r="K169" s="222"/>
    </row>
    <row r="170" spans="1:12" s="451" customFormat="1">
      <c r="J170" s="222"/>
      <c r="K170" s="222"/>
    </row>
    <row r="171" spans="1:12" s="688" customFormat="1">
      <c r="A171" s="696" t="s">
        <v>885</v>
      </c>
      <c r="B171" s="696"/>
      <c r="C171" s="735"/>
      <c r="D171" s="696"/>
      <c r="E171" s="696"/>
      <c r="F171" s="696"/>
      <c r="G171" s="696"/>
      <c r="H171" s="696"/>
      <c r="I171" s="696"/>
      <c r="J171" s="696"/>
      <c r="K171" s="696"/>
    </row>
    <row r="172" spans="1:12" s="688" customFormat="1">
      <c r="A172" s="687">
        <v>1</v>
      </c>
      <c r="B172" s="724" t="s">
        <v>1080</v>
      </c>
      <c r="C172" s="736"/>
      <c r="D172" s="736"/>
      <c r="E172" s="724"/>
      <c r="F172" s="724"/>
      <c r="G172" s="724"/>
    </row>
    <row r="173" spans="1:12" s="688" customFormat="1">
      <c r="A173" s="236">
        <v>2</v>
      </c>
      <c r="B173" s="688" t="s">
        <v>1153</v>
      </c>
    </row>
  </sheetData>
  <mergeCells count="3">
    <mergeCell ref="D9:E9"/>
    <mergeCell ref="G16:H16"/>
    <mergeCell ref="G19:H19"/>
  </mergeCells>
  <pageMargins left="0.5" right="0.5" top="0.5" bottom="0.5" header="0" footer="0"/>
  <pageSetup paperSize="5"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81" zoomScaleNormal="100" zoomScaleSheetLayoutView="81" workbookViewId="0"/>
  </sheetViews>
  <sheetFormatPr defaultColWidth="8.88671875" defaultRowHeight="14.25"/>
  <cols>
    <col min="1" max="1" width="4.21875" style="255" customWidth="1"/>
    <col min="2" max="2" width="34.88671875" style="255" customWidth="1"/>
    <col min="3" max="3" width="13.77734375" style="255" customWidth="1"/>
    <col min="4" max="4" width="2.77734375" style="256" customWidth="1"/>
    <col min="5" max="5" width="20.109375" style="255" bestFit="1" customWidth="1"/>
    <col min="6" max="6" width="9.21875" style="255" customWidth="1"/>
    <col min="7" max="16384" width="8.88671875" style="255"/>
  </cols>
  <sheetData>
    <row r="1" spans="1:12" ht="15">
      <c r="A1" s="259" t="str">
        <f>'Exhibit 1a'!A1</f>
        <v>VERSANT POWER – MAINE PUBLIC DISTRICT OATT</v>
      </c>
      <c r="B1" s="136"/>
      <c r="D1" s="238"/>
      <c r="E1" s="196" t="s">
        <v>48</v>
      </c>
      <c r="F1" s="253"/>
      <c r="G1" s="239"/>
      <c r="H1" s="238"/>
      <c r="I1" s="253"/>
      <c r="J1" s="239"/>
      <c r="K1" s="238"/>
    </row>
    <row r="2" spans="1:12" ht="15">
      <c r="A2" s="259" t="str">
        <f>'Exhibit 1a'!A2</f>
        <v>ATTACHMENT J FORMULA RATES</v>
      </c>
      <c r="B2" s="136"/>
      <c r="C2" s="238"/>
      <c r="D2" s="238"/>
      <c r="E2" s="94" t="s">
        <v>287</v>
      </c>
      <c r="F2" s="253"/>
      <c r="G2" s="239"/>
      <c r="H2" s="238"/>
      <c r="I2" s="253"/>
      <c r="J2" s="239"/>
      <c r="K2" s="238"/>
    </row>
    <row r="3" spans="1:12" ht="15">
      <c r="A3" s="259" t="str">
        <f>'Exhibit 1a'!A3</f>
        <v>RATE YEAR JUNE 1, 2020 TO MAY 31, 2021</v>
      </c>
      <c r="B3" s="136"/>
      <c r="C3" s="238"/>
      <c r="D3" s="238"/>
      <c r="E3" s="136"/>
      <c r="F3" s="253"/>
      <c r="G3" s="239"/>
      <c r="H3" s="238"/>
      <c r="I3" s="253"/>
      <c r="J3" s="239"/>
      <c r="K3" s="238"/>
      <c r="L3" s="136"/>
    </row>
    <row r="4" spans="1:12" s="256" customFormat="1" ht="15">
      <c r="A4" s="259" t="str">
        <f>'Exhibit 1a'!A4</f>
        <v>Actual ATRR &amp; CHARGES BASED ON ACTUAL CY 2020 VALUES</v>
      </c>
      <c r="B4" s="136"/>
      <c r="C4" s="238"/>
      <c r="D4" s="238"/>
      <c r="E4" s="136"/>
      <c r="F4" s="253"/>
      <c r="G4" s="239"/>
      <c r="H4" s="238"/>
      <c r="I4" s="253"/>
      <c r="J4" s="239"/>
      <c r="K4" s="238"/>
      <c r="L4" s="136"/>
    </row>
    <row r="5" spans="1:12" ht="15">
      <c r="A5" s="275"/>
      <c r="B5" s="221"/>
      <c r="C5" s="71"/>
      <c r="D5" s="66"/>
      <c r="E5" s="143"/>
    </row>
    <row r="6" spans="1:12" ht="15">
      <c r="A6" s="34" t="s">
        <v>286</v>
      </c>
      <c r="B6" s="221"/>
      <c r="C6" s="250" t="s">
        <v>66</v>
      </c>
      <c r="D6" s="66"/>
      <c r="E6" s="143"/>
    </row>
    <row r="7" spans="1:12" ht="15">
      <c r="A7" s="35"/>
      <c r="B7" s="221"/>
      <c r="C7" s="71"/>
      <c r="D7" s="66"/>
      <c r="E7" s="143"/>
    </row>
    <row r="8" spans="1:12" ht="15">
      <c r="A8" s="223" t="s">
        <v>14</v>
      </c>
      <c r="B8" s="249" t="s">
        <v>13</v>
      </c>
      <c r="C8" s="248" t="s">
        <v>12</v>
      </c>
      <c r="D8" s="248"/>
      <c r="E8" s="247" t="s">
        <v>25</v>
      </c>
    </row>
    <row r="9" spans="1:12">
      <c r="A9" s="242"/>
      <c r="B9" s="241"/>
      <c r="C9" s="246"/>
      <c r="D9" s="246"/>
      <c r="E9" s="241"/>
    </row>
    <row r="10" spans="1:12">
      <c r="A10" s="242">
        <v>1</v>
      </c>
      <c r="B10" s="241" t="s">
        <v>321</v>
      </c>
      <c r="C10" s="917">
        <v>9907697.3899999987</v>
      </c>
      <c r="D10" s="245"/>
      <c r="E10" s="261" t="s">
        <v>330</v>
      </c>
    </row>
    <row r="11" spans="1:12">
      <c r="A11" s="242">
        <v>2</v>
      </c>
      <c r="B11" s="241" t="s">
        <v>320</v>
      </c>
      <c r="C11" s="917">
        <v>119632.67000000001</v>
      </c>
      <c r="D11" s="245"/>
      <c r="E11" s="261" t="s">
        <v>573</v>
      </c>
    </row>
    <row r="12" spans="1:12">
      <c r="A12" s="242">
        <v>3</v>
      </c>
      <c r="B12" s="403" t="s">
        <v>245</v>
      </c>
      <c r="C12" s="866">
        <f>C10+C11</f>
        <v>10027330.059999999</v>
      </c>
      <c r="D12" s="240"/>
      <c r="E12" s="261" t="s">
        <v>285</v>
      </c>
    </row>
    <row r="13" spans="1:12">
      <c r="A13" s="242"/>
      <c r="B13" s="241"/>
      <c r="C13" s="449"/>
      <c r="D13" s="240"/>
      <c r="E13" s="261"/>
    </row>
    <row r="14" spans="1:12">
      <c r="A14" s="242">
        <v>4</v>
      </c>
      <c r="B14" s="241" t="s">
        <v>188</v>
      </c>
      <c r="C14" s="867">
        <f>'Exhibit 6'!D39</f>
        <v>0.20030246521694364</v>
      </c>
      <c r="D14" s="244"/>
      <c r="E14" s="261" t="s">
        <v>742</v>
      </c>
      <c r="F14" s="274"/>
    </row>
    <row r="15" spans="1:12">
      <c r="A15" s="242">
        <v>5</v>
      </c>
      <c r="B15" s="403" t="s">
        <v>284</v>
      </c>
      <c r="C15" s="866">
        <f>C14*C12</f>
        <v>2008498.9305619632</v>
      </c>
      <c r="D15" s="240"/>
      <c r="E15" s="261" t="s">
        <v>283</v>
      </c>
    </row>
    <row r="16" spans="1:12">
      <c r="A16" s="242"/>
      <c r="B16" s="241"/>
      <c r="C16" s="449"/>
      <c r="D16" s="240"/>
      <c r="E16" s="261"/>
    </row>
    <row r="17" spans="1:5">
      <c r="A17" s="242">
        <v>6</v>
      </c>
      <c r="B17" s="241" t="s">
        <v>180</v>
      </c>
      <c r="C17" s="867">
        <f>+'Exhibit 6'!D55</f>
        <v>0.29969181559056945</v>
      </c>
      <c r="D17" s="243"/>
      <c r="E17" s="261" t="s">
        <v>743</v>
      </c>
    </row>
    <row r="18" spans="1:5" ht="15.75" thickBot="1">
      <c r="A18" s="242">
        <v>7</v>
      </c>
      <c r="B18" s="404" t="s">
        <v>282</v>
      </c>
      <c r="C18" s="868">
        <f>C17*C15</f>
        <v>601930.69111183181</v>
      </c>
      <c r="D18" s="240"/>
      <c r="E18" s="261" t="s">
        <v>281</v>
      </c>
    </row>
    <row r="19" spans="1:5" ht="15" thickTop="1">
      <c r="E19" s="256"/>
    </row>
    <row r="20" spans="1:5">
      <c r="E20" s="256"/>
    </row>
    <row r="21" spans="1:5">
      <c r="E21" s="256"/>
    </row>
    <row r="22" spans="1:5">
      <c r="E22" s="256"/>
    </row>
    <row r="23" spans="1:5">
      <c r="E23" s="256"/>
    </row>
    <row r="24" spans="1:5">
      <c r="E24" s="256"/>
    </row>
    <row r="25" spans="1:5">
      <c r="E25" s="256"/>
    </row>
    <row r="26" spans="1:5">
      <c r="E26" s="256"/>
    </row>
    <row r="27" spans="1:5">
      <c r="E27" s="256"/>
    </row>
  </sheetData>
  <pageMargins left="0.5" right="0.5" top="0.5" bottom="0.5" header="0" footer="0"/>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topLeftCell="A4" zoomScale="81" zoomScaleNormal="100" zoomScaleSheetLayoutView="81" workbookViewId="0"/>
  </sheetViews>
  <sheetFormatPr defaultColWidth="8.88671875" defaultRowHeight="14.25"/>
  <cols>
    <col min="1" max="1" width="4.21875" style="256" customWidth="1"/>
    <col min="2" max="2" width="21.33203125" style="256" customWidth="1"/>
    <col min="3" max="3" width="8.88671875" style="256"/>
    <col min="4" max="4" width="11.88671875" style="256" customWidth="1"/>
    <col min="5" max="5" width="11.33203125" style="256" customWidth="1"/>
    <col min="6" max="6" width="10.6640625" style="256" customWidth="1"/>
    <col min="7" max="7" width="13.6640625" style="256" customWidth="1"/>
    <col min="8" max="8" width="13.77734375" style="256" customWidth="1"/>
    <col min="9" max="9" width="2" style="256" customWidth="1"/>
    <col min="10" max="10" width="29" style="256" customWidth="1"/>
    <col min="11" max="16384" width="8.88671875" style="256"/>
  </cols>
  <sheetData>
    <row r="1" spans="1:10" ht="15">
      <c r="A1" s="259" t="str">
        <f>'Exhibit 1a'!A1</f>
        <v>VERSANT POWER – MAINE PUBLIC DISTRICT OATT</v>
      </c>
      <c r="B1" s="308"/>
      <c r="D1" s="308"/>
      <c r="E1" s="321"/>
      <c r="F1" s="321"/>
      <c r="G1" s="321"/>
      <c r="J1" s="94" t="s">
        <v>48</v>
      </c>
    </row>
    <row r="2" spans="1:10" ht="15">
      <c r="A2" s="259" t="str">
        <f>'Exhibit 1a'!A2</f>
        <v>ATTACHMENT J FORMULA RATES</v>
      </c>
      <c r="B2" s="321"/>
      <c r="C2" s="321"/>
      <c r="D2" s="321"/>
      <c r="E2" s="321"/>
      <c r="F2" s="321"/>
      <c r="G2" s="321"/>
      <c r="H2" s="321"/>
      <c r="I2" s="321"/>
      <c r="J2" s="94" t="s">
        <v>732</v>
      </c>
    </row>
    <row r="3" spans="1:10" ht="15">
      <c r="A3" s="259" t="str">
        <f>'Exhibit 1a'!A3</f>
        <v>RATE YEAR JUNE 1, 2020 TO MAY 31, 2021</v>
      </c>
      <c r="B3" s="455"/>
      <c r="C3" s="455"/>
      <c r="D3" s="455"/>
      <c r="E3" s="321"/>
      <c r="F3" s="321"/>
      <c r="G3" s="321"/>
      <c r="H3" s="321"/>
      <c r="I3" s="321"/>
    </row>
    <row r="4" spans="1:10" ht="15">
      <c r="A4" s="259" t="str">
        <f>'Exhibit 1a'!A4</f>
        <v>Actual ATRR &amp; CHARGES BASED ON ACTUAL CY 2020 VALUES</v>
      </c>
      <c r="B4" s="455"/>
      <c r="C4" s="455"/>
      <c r="D4" s="455"/>
      <c r="E4" s="321"/>
      <c r="F4" s="321"/>
      <c r="G4" s="321"/>
      <c r="H4" s="321"/>
      <c r="I4" s="321"/>
    </row>
    <row r="5" spans="1:10" ht="15">
      <c r="A5" s="305"/>
      <c r="B5" s="321"/>
      <c r="C5" s="321"/>
      <c r="D5" s="321"/>
      <c r="E5" s="321"/>
      <c r="F5" s="321"/>
      <c r="G5" s="321"/>
      <c r="H5" s="321"/>
      <c r="I5" s="321"/>
    </row>
    <row r="6" spans="1:10" ht="15">
      <c r="A6" s="279" t="s">
        <v>298</v>
      </c>
      <c r="C6" s="313"/>
      <c r="D6" s="309"/>
      <c r="E6" s="309"/>
      <c r="F6" s="309"/>
      <c r="G6" s="282"/>
      <c r="H6" s="314"/>
      <c r="I6" s="314"/>
    </row>
    <row r="7" spans="1:10" ht="15">
      <c r="A7" s="298"/>
      <c r="B7" s="313"/>
      <c r="C7" s="313"/>
      <c r="D7" s="309"/>
      <c r="E7" s="309"/>
      <c r="F7" s="309"/>
      <c r="G7" s="282"/>
      <c r="H7" s="314"/>
      <c r="I7" s="314"/>
    </row>
    <row r="8" spans="1:10" ht="15">
      <c r="A8" s="309"/>
      <c r="B8" s="313"/>
      <c r="C8" s="313"/>
      <c r="D8" s="309" t="s">
        <v>66</v>
      </c>
      <c r="E8" s="309" t="s">
        <v>43</v>
      </c>
      <c r="F8" s="309" t="s">
        <v>65</v>
      </c>
      <c r="G8" s="310" t="s">
        <v>64</v>
      </c>
      <c r="H8" s="311" t="s">
        <v>63</v>
      </c>
      <c r="I8" s="311"/>
      <c r="J8" s="280"/>
    </row>
    <row r="9" spans="1:10" ht="15">
      <c r="A9" s="309"/>
      <c r="B9" s="313"/>
      <c r="C9" s="313"/>
      <c r="D9" s="310" t="s">
        <v>339</v>
      </c>
      <c r="E9" s="310" t="s">
        <v>339</v>
      </c>
      <c r="F9" s="312" t="s">
        <v>297</v>
      </c>
      <c r="G9" s="310" t="s">
        <v>54</v>
      </c>
      <c r="H9" s="281" t="s">
        <v>296</v>
      </c>
      <c r="I9" s="314"/>
      <c r="J9" s="566"/>
    </row>
    <row r="10" spans="1:10" ht="15">
      <c r="A10" s="309"/>
      <c r="B10" s="313"/>
      <c r="C10" s="313"/>
      <c r="D10" s="309"/>
      <c r="E10" s="309"/>
      <c r="F10" s="309"/>
      <c r="G10" s="282"/>
      <c r="H10" s="314"/>
      <c r="I10" s="314"/>
      <c r="J10" s="566"/>
    </row>
    <row r="11" spans="1:10" ht="15">
      <c r="A11" s="309"/>
      <c r="B11" s="283"/>
      <c r="C11" s="283"/>
      <c r="D11" s="869" t="s">
        <v>1190</v>
      </c>
      <c r="E11" s="869" t="s">
        <v>1191</v>
      </c>
      <c r="F11" s="284" t="s">
        <v>574</v>
      </c>
      <c r="G11" s="317" t="s">
        <v>295</v>
      </c>
      <c r="H11" s="285"/>
      <c r="I11" s="285"/>
      <c r="J11" s="54"/>
    </row>
    <row r="12" spans="1:10" ht="30">
      <c r="A12" s="318" t="s">
        <v>14</v>
      </c>
      <c r="B12" s="316" t="s">
        <v>294</v>
      </c>
      <c r="C12" s="316"/>
      <c r="D12" s="286" t="s">
        <v>293</v>
      </c>
      <c r="E12" s="286" t="s">
        <v>293</v>
      </c>
      <c r="F12" s="286" t="s">
        <v>293</v>
      </c>
      <c r="G12" s="319" t="s">
        <v>292</v>
      </c>
      <c r="H12" s="287" t="s">
        <v>291</v>
      </c>
      <c r="I12" s="287"/>
      <c r="J12" s="254" t="s">
        <v>25</v>
      </c>
    </row>
    <row r="13" spans="1:10">
      <c r="A13" s="298"/>
      <c r="D13" s="315"/>
      <c r="E13" s="315"/>
      <c r="F13" s="315"/>
      <c r="G13" s="288"/>
      <c r="H13" s="289"/>
      <c r="I13" s="289"/>
    </row>
    <row r="14" spans="1:10">
      <c r="A14" s="298">
        <v>1</v>
      </c>
      <c r="B14" s="751" t="s">
        <v>768</v>
      </c>
      <c r="C14" s="752" t="s">
        <v>56</v>
      </c>
      <c r="D14" s="551">
        <v>9.4820593315270343E-3</v>
      </c>
      <c r="E14" s="551">
        <v>1.1997214650899445E-2</v>
      </c>
      <c r="F14" s="870">
        <f>E14-D14</f>
        <v>2.5151553193724103E-3</v>
      </c>
      <c r="G14" s="550">
        <v>12712235</v>
      </c>
      <c r="H14" s="871">
        <f>F14*G14</f>
        <v>31973.245481362133</v>
      </c>
      <c r="I14" s="331"/>
      <c r="J14" s="956" t="s">
        <v>725</v>
      </c>
    </row>
    <row r="15" spans="1:10">
      <c r="A15" s="298">
        <v>2</v>
      </c>
      <c r="B15" s="753" t="s">
        <v>769</v>
      </c>
      <c r="C15" s="752" t="s">
        <v>56</v>
      </c>
      <c r="D15" s="551">
        <v>1.0555918893047E-2</v>
      </c>
      <c r="E15" s="551">
        <v>1.3533297775317012E-2</v>
      </c>
      <c r="F15" s="870">
        <f t="shared" ref="F15" si="0">E15-D15</f>
        <v>2.9773788822700115E-3</v>
      </c>
      <c r="G15" s="550">
        <v>6481160</v>
      </c>
      <c r="H15" s="871">
        <f t="shared" ref="H15" si="1">F15*G15</f>
        <v>19296.868916613108</v>
      </c>
      <c r="I15" s="331"/>
      <c r="J15" s="956"/>
    </row>
    <row r="16" spans="1:10">
      <c r="A16" s="298">
        <v>3</v>
      </c>
      <c r="B16" s="753" t="s">
        <v>770</v>
      </c>
      <c r="C16" s="754" t="s">
        <v>55</v>
      </c>
      <c r="D16" s="893">
        <v>3.26</v>
      </c>
      <c r="E16" s="893">
        <v>4.3010676637572685</v>
      </c>
      <c r="F16" s="892">
        <f t="shared" ref="F16:F22" si="2">E16-D16</f>
        <v>1.0410676637572687</v>
      </c>
      <c r="G16" s="550">
        <v>13312</v>
      </c>
      <c r="H16" s="871">
        <f t="shared" ref="H16:H22" si="3">F16*G16</f>
        <v>13858.69273993676</v>
      </c>
      <c r="I16" s="331"/>
    </row>
    <row r="17" spans="1:10">
      <c r="A17" s="298">
        <v>4</v>
      </c>
      <c r="B17" s="753" t="s">
        <v>771</v>
      </c>
      <c r="C17" s="754" t="s">
        <v>55</v>
      </c>
      <c r="D17" s="893">
        <v>3.88</v>
      </c>
      <c r="E17" s="893">
        <v>3.466540454602407</v>
      </c>
      <c r="F17" s="892">
        <f t="shared" si="2"/>
        <v>-0.41345954539759289</v>
      </c>
      <c r="G17" s="550">
        <v>2974</v>
      </c>
      <c r="H17" s="871">
        <f t="shared" si="3"/>
        <v>-1229.6286880124412</v>
      </c>
      <c r="I17" s="331"/>
    </row>
    <row r="18" spans="1:10">
      <c r="A18" s="298">
        <v>5</v>
      </c>
      <c r="B18" s="753" t="s">
        <v>772</v>
      </c>
      <c r="C18" s="754" t="s">
        <v>55</v>
      </c>
      <c r="D18" s="893">
        <v>4.32</v>
      </c>
      <c r="E18" s="893">
        <v>5.0559707778876746</v>
      </c>
      <c r="F18" s="892">
        <f t="shared" si="2"/>
        <v>0.73597077788767429</v>
      </c>
      <c r="G18" s="550">
        <v>1445</v>
      </c>
      <c r="H18" s="871">
        <f t="shared" si="3"/>
        <v>1063.4777740476893</v>
      </c>
      <c r="I18" s="331"/>
    </row>
    <row r="19" spans="1:10">
      <c r="A19" s="298">
        <v>6</v>
      </c>
      <c r="B19" s="753" t="s">
        <v>773</v>
      </c>
      <c r="C19" s="754" t="s">
        <v>55</v>
      </c>
      <c r="D19" s="893">
        <v>3.71</v>
      </c>
      <c r="E19" s="893">
        <v>4.8580905753127848</v>
      </c>
      <c r="F19" s="892">
        <f t="shared" si="2"/>
        <v>1.1480905753127848</v>
      </c>
      <c r="G19" s="550">
        <v>3757</v>
      </c>
      <c r="H19" s="871">
        <f t="shared" si="3"/>
        <v>4313.3762914501322</v>
      </c>
      <c r="I19" s="331"/>
    </row>
    <row r="20" spans="1:10">
      <c r="A20" s="298">
        <v>7</v>
      </c>
      <c r="B20" s="753" t="s">
        <v>774</v>
      </c>
      <c r="C20" s="754" t="s">
        <v>55</v>
      </c>
      <c r="D20" s="893">
        <v>3.1263313108298543</v>
      </c>
      <c r="E20" s="893">
        <v>4.5160723362132744</v>
      </c>
      <c r="F20" s="892">
        <f t="shared" si="2"/>
        <v>1.3897410253834201</v>
      </c>
      <c r="G20" s="550">
        <v>6594</v>
      </c>
      <c r="H20" s="871">
        <f t="shared" si="3"/>
        <v>9163.9523213782722</v>
      </c>
      <c r="I20" s="331"/>
    </row>
    <row r="21" spans="1:10">
      <c r="A21" s="298">
        <v>8</v>
      </c>
      <c r="B21" s="753" t="s">
        <v>775</v>
      </c>
      <c r="C21" s="754" t="s">
        <v>55</v>
      </c>
      <c r="D21" s="893">
        <v>3.3967273874611017</v>
      </c>
      <c r="E21" s="893">
        <v>4.5940420510428819</v>
      </c>
      <c r="F21" s="892">
        <f t="shared" si="2"/>
        <v>1.1973146635817802</v>
      </c>
      <c r="G21" s="550">
        <v>14419</v>
      </c>
      <c r="H21" s="871">
        <f t="shared" si="3"/>
        <v>17264.08013418569</v>
      </c>
      <c r="I21" s="331"/>
    </row>
    <row r="22" spans="1:10">
      <c r="A22" s="298">
        <v>9</v>
      </c>
      <c r="B22" s="753" t="s">
        <v>776</v>
      </c>
      <c r="C22" s="752" t="s">
        <v>56</v>
      </c>
      <c r="D22" s="551">
        <v>7.662696165432286E-3</v>
      </c>
      <c r="E22" s="551">
        <v>9.7223110957705763E-3</v>
      </c>
      <c r="F22" s="870">
        <f t="shared" si="2"/>
        <v>2.0596149303382903E-3</v>
      </c>
      <c r="G22" s="550">
        <v>269131</v>
      </c>
      <c r="H22" s="871">
        <f t="shared" si="3"/>
        <v>554.30622581687442</v>
      </c>
      <c r="I22" s="331"/>
    </row>
    <row r="23" spans="1:10">
      <c r="A23" s="508">
        <v>10</v>
      </c>
      <c r="B23" s="405" t="s">
        <v>289</v>
      </c>
      <c r="C23" s="405"/>
      <c r="D23" s="406"/>
      <c r="E23" s="405"/>
      <c r="F23" s="407"/>
      <c r="G23" s="541"/>
      <c r="H23" s="872">
        <f>SUM(H14:H22)</f>
        <v>96258.3711967782</v>
      </c>
      <c r="I23" s="290"/>
      <c r="J23" s="256" t="s">
        <v>726</v>
      </c>
    </row>
    <row r="24" spans="1:10">
      <c r="A24" s="508">
        <v>11</v>
      </c>
      <c r="B24" s="299"/>
      <c r="C24" s="299"/>
      <c r="D24" s="321"/>
      <c r="E24" s="299"/>
      <c r="F24" s="291"/>
      <c r="G24" s="291"/>
      <c r="H24" s="320"/>
      <c r="I24" s="320"/>
    </row>
    <row r="25" spans="1:10" ht="15">
      <c r="A25" s="508">
        <v>12</v>
      </c>
      <c r="B25" s="322"/>
      <c r="E25" s="292" t="s">
        <v>66</v>
      </c>
      <c r="F25" s="292" t="s">
        <v>43</v>
      </c>
      <c r="G25" s="566" t="s">
        <v>65</v>
      </c>
      <c r="H25" s="327" t="s">
        <v>383</v>
      </c>
      <c r="I25" s="293"/>
    </row>
    <row r="26" spans="1:10" ht="15">
      <c r="A26" s="508">
        <v>13</v>
      </c>
      <c r="B26" s="322"/>
      <c r="E26" s="294"/>
      <c r="F26" s="292"/>
      <c r="G26" s="292"/>
      <c r="H26" s="293"/>
      <c r="I26" s="293"/>
    </row>
    <row r="27" spans="1:10" ht="15">
      <c r="A27" s="508">
        <v>14</v>
      </c>
      <c r="B27" s="322"/>
      <c r="E27" s="294"/>
      <c r="F27" s="302"/>
      <c r="G27" s="328" t="s">
        <v>272</v>
      </c>
      <c r="H27" s="323"/>
      <c r="I27" s="323"/>
    </row>
    <row r="28" spans="1:10" ht="15">
      <c r="A28" s="509">
        <v>15</v>
      </c>
      <c r="B28" s="295" t="s">
        <v>271</v>
      </c>
      <c r="C28" s="295"/>
      <c r="D28" s="257"/>
      <c r="E28" s="295" t="s">
        <v>270</v>
      </c>
      <c r="F28" s="324" t="s">
        <v>269</v>
      </c>
      <c r="G28" s="329" t="s">
        <v>575</v>
      </c>
      <c r="H28" s="324" t="s">
        <v>245</v>
      </c>
      <c r="I28" s="324"/>
      <c r="J28" s="254" t="s">
        <v>384</v>
      </c>
    </row>
    <row r="29" spans="1:10">
      <c r="A29" s="298">
        <v>16</v>
      </c>
      <c r="B29" s="296" t="s">
        <v>233</v>
      </c>
      <c r="E29" s="336" t="str">
        <f>LEFT(E11,4)</f>
        <v>2019</v>
      </c>
      <c r="F29" s="806">
        <f>H23</f>
        <v>96258.3711967782</v>
      </c>
      <c r="G29" s="873">
        <v>4.4999999999999997E-3</v>
      </c>
      <c r="H29" s="806">
        <f t="shared" ref="H29:H40" si="4">G29*F29</f>
        <v>433.16267038550188</v>
      </c>
      <c r="I29" s="304"/>
      <c r="J29" s="256" t="s">
        <v>727</v>
      </c>
    </row>
    <row r="30" spans="1:10">
      <c r="A30" s="298">
        <v>17</v>
      </c>
      <c r="B30" s="296" t="s">
        <v>231</v>
      </c>
      <c r="E30" s="336" t="str">
        <f>E29</f>
        <v>2019</v>
      </c>
      <c r="F30" s="806">
        <f>F29+H29</f>
        <v>96691.5338671637</v>
      </c>
      <c r="G30" s="873">
        <v>4.7000000000000002E-3</v>
      </c>
      <c r="H30" s="806">
        <f t="shared" si="4"/>
        <v>454.45020917566939</v>
      </c>
      <c r="I30" s="304"/>
      <c r="J30" s="256" t="s">
        <v>385</v>
      </c>
    </row>
    <row r="31" spans="1:10">
      <c r="A31" s="298">
        <v>18</v>
      </c>
      <c r="B31" s="296" t="s">
        <v>229</v>
      </c>
      <c r="E31" s="336" t="str">
        <f t="shared" ref="E31:E35" si="5">E30</f>
        <v>2019</v>
      </c>
      <c r="F31" s="806">
        <f>+F30</f>
        <v>96691.5338671637</v>
      </c>
      <c r="G31" s="873">
        <v>4.7000000000000002E-3</v>
      </c>
      <c r="H31" s="806">
        <f t="shared" si="4"/>
        <v>454.45020917566939</v>
      </c>
      <c r="I31" s="304"/>
      <c r="J31" s="256" t="s">
        <v>386</v>
      </c>
    </row>
    <row r="32" spans="1:10">
      <c r="A32" s="298">
        <v>19</v>
      </c>
      <c r="B32" s="296" t="s">
        <v>227</v>
      </c>
      <c r="E32" s="336" t="str">
        <f t="shared" si="5"/>
        <v>2019</v>
      </c>
      <c r="F32" s="806">
        <f>+F31</f>
        <v>96691.5338671637</v>
      </c>
      <c r="G32" s="873">
        <v>4.4999999999999997E-3</v>
      </c>
      <c r="H32" s="806">
        <f t="shared" si="4"/>
        <v>435.11190240223664</v>
      </c>
      <c r="I32" s="304"/>
      <c r="J32" s="256" t="s">
        <v>386</v>
      </c>
    </row>
    <row r="33" spans="1:10">
      <c r="A33" s="298">
        <v>20</v>
      </c>
      <c r="B33" s="296" t="s">
        <v>225</v>
      </c>
      <c r="E33" s="336" t="str">
        <f t="shared" si="5"/>
        <v>2019</v>
      </c>
      <c r="F33" s="806">
        <f>+F32+H30+H31+H32</f>
        <v>98035.54618791728</v>
      </c>
      <c r="G33" s="873">
        <v>4.5999999999999999E-3</v>
      </c>
      <c r="H33" s="806">
        <f t="shared" si="4"/>
        <v>450.96351246441947</v>
      </c>
      <c r="I33" s="304"/>
      <c r="J33" s="256" t="s">
        <v>387</v>
      </c>
    </row>
    <row r="34" spans="1:10">
      <c r="A34" s="298">
        <v>21</v>
      </c>
      <c r="B34" s="296" t="s">
        <v>223</v>
      </c>
      <c r="E34" s="336" t="str">
        <f t="shared" si="5"/>
        <v>2019</v>
      </c>
      <c r="F34" s="806">
        <f>+F33</f>
        <v>98035.54618791728</v>
      </c>
      <c r="G34" s="873">
        <v>4.4999999999999997E-3</v>
      </c>
      <c r="H34" s="806">
        <f t="shared" si="4"/>
        <v>441.15995784562773</v>
      </c>
      <c r="I34" s="304"/>
      <c r="J34" s="256" t="s">
        <v>388</v>
      </c>
    </row>
    <row r="35" spans="1:10">
      <c r="A35" s="298">
        <v>22</v>
      </c>
      <c r="B35" s="296" t="s">
        <v>221</v>
      </c>
      <c r="E35" s="336" t="str">
        <f t="shared" si="5"/>
        <v>2019</v>
      </c>
      <c r="F35" s="806">
        <f>+F34</f>
        <v>98035.54618791728</v>
      </c>
      <c r="G35" s="873">
        <v>4.5999999999999999E-3</v>
      </c>
      <c r="H35" s="806">
        <f t="shared" si="4"/>
        <v>450.96351246441947</v>
      </c>
      <c r="I35" s="304"/>
      <c r="J35" s="256" t="s">
        <v>388</v>
      </c>
    </row>
    <row r="36" spans="1:10">
      <c r="A36" s="298">
        <v>23</v>
      </c>
      <c r="B36" s="296" t="s">
        <v>243</v>
      </c>
      <c r="E36" s="336" t="str">
        <f>RIGHT(E11,4)</f>
        <v>2020</v>
      </c>
      <c r="F36" s="806">
        <f>+F35+H33+H34+H35</f>
        <v>99378.633170691755</v>
      </c>
      <c r="G36" s="873">
        <v>4.1999999999999997E-3</v>
      </c>
      <c r="H36" s="806">
        <f t="shared" si="4"/>
        <v>417.39025931690537</v>
      </c>
      <c r="I36" s="304"/>
      <c r="J36" s="256" t="s">
        <v>389</v>
      </c>
    </row>
    <row r="37" spans="1:10">
      <c r="A37" s="298">
        <v>24</v>
      </c>
      <c r="B37" s="296" t="s">
        <v>241</v>
      </c>
      <c r="E37" s="336" t="str">
        <f>E36</f>
        <v>2020</v>
      </c>
      <c r="F37" s="806">
        <f>+F36</f>
        <v>99378.633170691755</v>
      </c>
      <c r="G37" s="873">
        <v>3.8999999999999998E-3</v>
      </c>
      <c r="H37" s="806">
        <f t="shared" si="4"/>
        <v>387.57666936569785</v>
      </c>
      <c r="I37" s="304"/>
      <c r="J37" s="256" t="s">
        <v>390</v>
      </c>
    </row>
    <row r="38" spans="1:10">
      <c r="A38" s="298">
        <v>25</v>
      </c>
      <c r="B38" s="296" t="s">
        <v>239</v>
      </c>
      <c r="E38" s="336" t="str">
        <f t="shared" ref="E38:E40" si="6">E37</f>
        <v>2020</v>
      </c>
      <c r="F38" s="806">
        <f>+F37</f>
        <v>99378.633170691755</v>
      </c>
      <c r="G38" s="873">
        <v>4.1999999999999997E-3</v>
      </c>
      <c r="H38" s="806">
        <f t="shared" si="4"/>
        <v>417.39025931690537</v>
      </c>
      <c r="I38" s="304"/>
      <c r="J38" s="256" t="s">
        <v>390</v>
      </c>
    </row>
    <row r="39" spans="1:10">
      <c r="A39" s="298">
        <v>26</v>
      </c>
      <c r="B39" s="296" t="s">
        <v>237</v>
      </c>
      <c r="E39" s="336" t="str">
        <f t="shared" si="6"/>
        <v>2020</v>
      </c>
      <c r="F39" s="806">
        <f>+F38+H36+H37+H38</f>
        <v>100600.99035869126</v>
      </c>
      <c r="G39" s="873">
        <v>3.8999999999999998E-3</v>
      </c>
      <c r="H39" s="806">
        <f t="shared" si="4"/>
        <v>392.34386239889585</v>
      </c>
      <c r="I39" s="304"/>
      <c r="J39" s="256" t="s">
        <v>391</v>
      </c>
    </row>
    <row r="40" spans="1:10">
      <c r="A40" s="298">
        <v>27</v>
      </c>
      <c r="B40" s="296" t="s">
        <v>235</v>
      </c>
      <c r="E40" s="336" t="str">
        <f t="shared" si="6"/>
        <v>2020</v>
      </c>
      <c r="F40" s="806">
        <f>+F39</f>
        <v>100600.99035869126</v>
      </c>
      <c r="G40" s="873">
        <v>4.0000000000000001E-3</v>
      </c>
      <c r="H40" s="806">
        <f t="shared" si="4"/>
        <v>402.40396143476505</v>
      </c>
      <c r="I40" s="304"/>
      <c r="J40" s="256" t="s">
        <v>392</v>
      </c>
    </row>
    <row r="41" spans="1:10">
      <c r="A41" s="298">
        <v>28</v>
      </c>
      <c r="B41" s="408" t="s">
        <v>290</v>
      </c>
      <c r="C41" s="402"/>
      <c r="D41" s="408"/>
      <c r="E41" s="409"/>
      <c r="F41" s="408"/>
      <c r="G41" s="408"/>
      <c r="H41" s="804">
        <f>SUM(H29:H40)</f>
        <v>5137.366985746713</v>
      </c>
      <c r="I41" s="304"/>
      <c r="J41" s="256" t="s">
        <v>393</v>
      </c>
    </row>
    <row r="42" spans="1:10">
      <c r="A42" s="298">
        <v>29</v>
      </c>
      <c r="B42" s="300"/>
      <c r="C42" s="300"/>
      <c r="D42" s="300"/>
      <c r="E42" s="325"/>
      <c r="F42" s="297"/>
      <c r="H42" s="330"/>
      <c r="I42" s="330"/>
    </row>
    <row r="43" spans="1:10" ht="15.75" thickBot="1">
      <c r="A43" s="298">
        <v>30</v>
      </c>
      <c r="B43" s="410" t="s">
        <v>289</v>
      </c>
      <c r="C43" s="411"/>
      <c r="D43" s="412"/>
      <c r="E43" s="376"/>
      <c r="F43" s="376"/>
      <c r="G43" s="413"/>
      <c r="H43" s="874">
        <f>H41+H23</f>
        <v>101395.73818252492</v>
      </c>
      <c r="I43" s="304"/>
      <c r="J43" s="256" t="s">
        <v>728</v>
      </c>
    </row>
    <row r="44" spans="1:10" ht="15" thickTop="1">
      <c r="B44" s="294"/>
      <c r="C44" s="294"/>
    </row>
    <row r="45" spans="1:10">
      <c r="A45" s="301" t="s">
        <v>11</v>
      </c>
      <c r="B45" s="257"/>
      <c r="C45" s="257"/>
      <c r="D45" s="257"/>
      <c r="E45" s="257"/>
      <c r="F45" s="257"/>
      <c r="G45" s="257"/>
      <c r="H45" s="257"/>
      <c r="I45" s="257"/>
      <c r="J45" s="257"/>
    </row>
    <row r="46" spans="1:10">
      <c r="A46" s="253">
        <v>1</v>
      </c>
      <c r="B46" s="256" t="s">
        <v>651</v>
      </c>
    </row>
    <row r="47" spans="1:10">
      <c r="A47" s="253">
        <v>2</v>
      </c>
      <c r="B47" s="256" t="s">
        <v>288</v>
      </c>
    </row>
    <row r="48" spans="1:10">
      <c r="A48" s="253">
        <v>3</v>
      </c>
      <c r="B48" s="326" t="s">
        <v>268</v>
      </c>
    </row>
  </sheetData>
  <mergeCells count="1">
    <mergeCell ref="J14:J15"/>
  </mergeCells>
  <pageMargins left="0.5" right="0.5" top="0.5" bottom="0.5" header="0" footer="0"/>
  <pageSetup paperSize="5"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K25"/>
  <sheetViews>
    <sheetView view="pageBreakPreview" zoomScale="81" zoomScaleNormal="100" zoomScaleSheetLayoutView="81" workbookViewId="0"/>
  </sheetViews>
  <sheetFormatPr defaultColWidth="8.88671875" defaultRowHeight="14.25"/>
  <cols>
    <col min="1" max="1" width="4.21875" style="256" customWidth="1"/>
    <col min="2" max="2" width="35.21875" style="256" customWidth="1"/>
    <col min="3" max="7" width="17.88671875" style="256" customWidth="1"/>
    <col min="8" max="8" width="3" style="256" customWidth="1"/>
    <col min="9" max="9" width="45.21875" style="256" customWidth="1"/>
    <col min="10" max="10" width="11.77734375" style="256" customWidth="1"/>
    <col min="11" max="11" width="9.6640625" style="256" bestFit="1" customWidth="1"/>
    <col min="12" max="16384" width="8.88671875" style="256"/>
  </cols>
  <sheetData>
    <row r="1" spans="1:11" ht="15">
      <c r="A1" s="259" t="str">
        <f>'Exhibit 1a'!A1</f>
        <v>VERSANT POWER – MAINE PUBLIC DISTRICT OATT</v>
      </c>
      <c r="B1" s="308"/>
      <c r="D1" s="308"/>
      <c r="E1" s="308"/>
      <c r="F1" s="321"/>
      <c r="G1" s="321"/>
      <c r="H1" s="321"/>
      <c r="I1" s="94" t="s">
        <v>48</v>
      </c>
    </row>
    <row r="2" spans="1:11" ht="15">
      <c r="A2" s="259" t="str">
        <f>'Exhibit 1a'!A2</f>
        <v>ATTACHMENT J FORMULA RATES</v>
      </c>
      <c r="B2" s="321"/>
      <c r="C2" s="321"/>
      <c r="D2" s="321"/>
      <c r="E2" s="321"/>
      <c r="F2" s="321"/>
      <c r="G2" s="321"/>
      <c r="H2" s="321"/>
      <c r="I2" s="307" t="s">
        <v>733</v>
      </c>
    </row>
    <row r="3" spans="1:11" ht="15">
      <c r="A3" s="259" t="str">
        <f>'Exhibit 1a'!A3</f>
        <v>RATE YEAR JUNE 1, 2020 TO MAY 31, 2021</v>
      </c>
      <c r="F3" s="321"/>
      <c r="G3" s="321"/>
      <c r="H3" s="321"/>
      <c r="I3" s="321"/>
    </row>
    <row r="4" spans="1:11" ht="15">
      <c r="A4" s="259" t="str">
        <f>'Exhibit 1a'!A4</f>
        <v>Actual ATRR &amp; CHARGES BASED ON ACTUAL CY 2020 VALUES</v>
      </c>
      <c r="F4" s="321"/>
      <c r="G4" s="321"/>
      <c r="H4" s="321"/>
      <c r="I4" s="321"/>
    </row>
    <row r="5" spans="1:11" ht="15">
      <c r="A5" s="276"/>
      <c r="F5" s="321"/>
      <c r="G5" s="321"/>
      <c r="H5" s="321"/>
      <c r="I5" s="321"/>
    </row>
    <row r="6" spans="1:11" ht="15">
      <c r="A6" s="279" t="s">
        <v>591</v>
      </c>
      <c r="F6" s="321"/>
      <c r="G6" s="321"/>
      <c r="H6" s="321"/>
      <c r="I6" s="321"/>
    </row>
    <row r="7" spans="1:11" ht="15">
      <c r="A7" s="305"/>
      <c r="B7" s="321"/>
      <c r="C7" s="321"/>
      <c r="D7" s="321"/>
      <c r="E7" s="321"/>
      <c r="F7" s="321"/>
      <c r="G7" s="321"/>
      <c r="H7" s="321"/>
      <c r="I7" s="321"/>
    </row>
    <row r="8" spans="1:11" ht="15">
      <c r="B8" s="313"/>
      <c r="C8" s="309" t="s">
        <v>66</v>
      </c>
      <c r="D8" s="309" t="s">
        <v>43</v>
      </c>
      <c r="E8" s="309" t="s">
        <v>65</v>
      </c>
      <c r="F8" s="309" t="s">
        <v>64</v>
      </c>
      <c r="G8" s="309" t="s">
        <v>63</v>
      </c>
      <c r="H8" s="309"/>
      <c r="I8" s="309"/>
    </row>
    <row r="9" spans="1:11" ht="15">
      <c r="A9" s="309"/>
      <c r="B9" s="313"/>
      <c r="C9" s="313"/>
      <c r="D9" s="309"/>
      <c r="E9" s="309"/>
      <c r="F9" s="309"/>
      <c r="G9" s="309"/>
      <c r="H9" s="309"/>
      <c r="I9" s="309"/>
    </row>
    <row r="10" spans="1:11" ht="15">
      <c r="A10" s="567" t="s">
        <v>14</v>
      </c>
      <c r="B10" s="90" t="s">
        <v>31</v>
      </c>
      <c r="C10" s="567" t="s">
        <v>363</v>
      </c>
      <c r="D10" s="52" t="s">
        <v>361</v>
      </c>
      <c r="E10" s="372" t="s">
        <v>593</v>
      </c>
      <c r="F10" s="372" t="s">
        <v>362</v>
      </c>
      <c r="G10" s="372" t="s">
        <v>366</v>
      </c>
      <c r="H10" s="372"/>
      <c r="I10" s="567" t="s">
        <v>25</v>
      </c>
    </row>
    <row r="12" spans="1:11">
      <c r="A12" s="253">
        <v>1</v>
      </c>
      <c r="B12" s="756" t="s">
        <v>1192</v>
      </c>
      <c r="C12" s="757"/>
      <c r="D12" s="755"/>
      <c r="E12" s="755"/>
      <c r="F12" s="755">
        <v>86667</v>
      </c>
      <c r="G12" s="758" t="s">
        <v>864</v>
      </c>
      <c r="H12" s="373"/>
      <c r="I12" s="756"/>
      <c r="J12" s="371"/>
      <c r="K12" s="450"/>
    </row>
    <row r="13" spans="1:11">
      <c r="A13" s="253">
        <v>2</v>
      </c>
      <c r="B13" s="756" t="s">
        <v>1193</v>
      </c>
      <c r="C13" s="894" t="s">
        <v>1191</v>
      </c>
      <c r="D13" s="755">
        <v>6809362</v>
      </c>
      <c r="E13" s="755">
        <v>6814030</v>
      </c>
      <c r="F13" s="755">
        <v>4668</v>
      </c>
      <c r="G13" s="755">
        <v>262</v>
      </c>
      <c r="H13" s="373"/>
      <c r="I13" s="756"/>
      <c r="J13" s="450"/>
      <c r="K13" s="450"/>
    </row>
    <row r="14" spans="1:11">
      <c r="A14" s="253">
        <v>3</v>
      </c>
      <c r="B14" s="337"/>
      <c r="C14" s="337"/>
      <c r="D14" s="374"/>
      <c r="E14" s="374"/>
      <c r="F14" s="374"/>
      <c r="G14" s="374"/>
      <c r="H14" s="373"/>
      <c r="I14" s="337"/>
      <c r="J14" s="450"/>
      <c r="K14" s="450"/>
    </row>
    <row r="15" spans="1:11">
      <c r="A15" s="253">
        <v>4</v>
      </c>
      <c r="B15" s="337"/>
      <c r="C15" s="337"/>
      <c r="D15" s="374"/>
      <c r="E15" s="374"/>
      <c r="F15" s="374"/>
      <c r="G15" s="374"/>
      <c r="H15" s="373"/>
      <c r="I15" s="337"/>
      <c r="J15" s="450"/>
      <c r="K15" s="450"/>
    </row>
    <row r="16" spans="1:11">
      <c r="A16" s="253">
        <v>5</v>
      </c>
      <c r="B16" s="337"/>
      <c r="C16" s="337"/>
      <c r="D16" s="374"/>
      <c r="E16" s="374"/>
      <c r="F16" s="374"/>
      <c r="G16" s="374"/>
      <c r="H16" s="373"/>
      <c r="I16" s="337"/>
    </row>
    <row r="17" spans="1:9">
      <c r="A17" s="253">
        <v>6</v>
      </c>
      <c r="B17" s="337"/>
      <c r="C17" s="337"/>
      <c r="D17" s="375"/>
      <c r="E17" s="375"/>
      <c r="F17" s="375"/>
      <c r="G17" s="375"/>
      <c r="H17" s="339"/>
      <c r="I17" s="337"/>
    </row>
    <row r="18" spans="1:9">
      <c r="A18" s="253">
        <v>7</v>
      </c>
      <c r="B18" s="337"/>
      <c r="C18" s="337"/>
      <c r="D18" s="375"/>
      <c r="E18" s="375"/>
      <c r="F18" s="375"/>
      <c r="G18" s="375"/>
      <c r="H18" s="339"/>
      <c r="I18" s="337"/>
    </row>
    <row r="19" spans="1:9">
      <c r="A19" s="253">
        <v>8</v>
      </c>
      <c r="B19" s="337"/>
      <c r="C19" s="337"/>
      <c r="D19" s="375"/>
      <c r="E19" s="375"/>
      <c r="F19" s="375"/>
      <c r="G19" s="375"/>
      <c r="H19" s="339"/>
      <c r="I19" s="337"/>
    </row>
    <row r="20" spans="1:9">
      <c r="A20" s="253">
        <v>9</v>
      </c>
      <c r="B20" s="337"/>
      <c r="C20" s="337"/>
      <c r="D20" s="375"/>
      <c r="E20" s="375"/>
      <c r="F20" s="375"/>
      <c r="G20" s="375"/>
      <c r="H20" s="373"/>
      <c r="I20" s="337"/>
    </row>
    <row r="21" spans="1:9" ht="14.45" customHeight="1">
      <c r="A21" s="253">
        <v>10</v>
      </c>
      <c r="B21" s="337"/>
      <c r="C21" s="337"/>
      <c r="D21" s="375"/>
      <c r="E21" s="375"/>
      <c r="F21" s="375"/>
      <c r="G21" s="375"/>
      <c r="I21" s="337"/>
    </row>
    <row r="22" spans="1:9" ht="15.75" thickBot="1">
      <c r="A22" s="253">
        <v>11</v>
      </c>
      <c r="B22" s="376" t="s">
        <v>126</v>
      </c>
      <c r="C22" s="376"/>
      <c r="D22" s="377"/>
      <c r="E22" s="377"/>
      <c r="F22" s="378">
        <f>SUM(F12:F21)</f>
        <v>91335</v>
      </c>
      <c r="G22" s="378">
        <f>SUM(G12:G21)</f>
        <v>262</v>
      </c>
      <c r="H22" s="338"/>
      <c r="I22" s="256" t="s">
        <v>413</v>
      </c>
    </row>
    <row r="23" spans="1:9" ht="15" thickTop="1"/>
    <row r="24" spans="1:9">
      <c r="A24" s="301" t="s">
        <v>11</v>
      </c>
      <c r="B24" s="257"/>
      <c r="C24" s="257"/>
      <c r="D24" s="257"/>
      <c r="E24" s="257"/>
      <c r="F24" s="257"/>
      <c r="G24" s="257"/>
      <c r="H24" s="257"/>
      <c r="I24" s="257"/>
    </row>
    <row r="25" spans="1:9">
      <c r="A25" s="253">
        <v>1</v>
      </c>
      <c r="B25" s="326" t="s">
        <v>268</v>
      </c>
    </row>
  </sheetData>
  <pageMargins left="0.5" right="0.5" top="0.5" bottom="0.5" header="0" footer="0"/>
  <pageSetup paperSize="5"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I25"/>
  <sheetViews>
    <sheetView view="pageBreakPreview" zoomScale="81" zoomScaleNormal="85" zoomScaleSheetLayoutView="81" workbookViewId="0"/>
  </sheetViews>
  <sheetFormatPr defaultColWidth="8.88671875" defaultRowHeight="14.25"/>
  <cols>
    <col min="1" max="1" width="4.21875" style="222" customWidth="1"/>
    <col min="2" max="2" width="35.21875" style="222" customWidth="1"/>
    <col min="3" max="7" width="17.88671875" style="222" customWidth="1"/>
    <col min="8" max="8" width="3" style="222" customWidth="1"/>
    <col min="9" max="9" width="34.88671875" style="222" bestFit="1" customWidth="1"/>
    <col min="10" max="16384" width="8.88671875" style="222"/>
  </cols>
  <sheetData>
    <row r="1" spans="1:9" ht="15">
      <c r="A1" s="259" t="str">
        <f>'Exhibit 1a'!A1</f>
        <v>VERSANT POWER – MAINE PUBLIC DISTRICT OATT</v>
      </c>
      <c r="B1" s="308"/>
      <c r="D1" s="308"/>
      <c r="E1" s="308"/>
      <c r="F1" s="321"/>
      <c r="G1" s="321"/>
      <c r="H1" s="321"/>
      <c r="I1" s="225" t="s">
        <v>48</v>
      </c>
    </row>
    <row r="2" spans="1:9" ht="15">
      <c r="A2" s="259" t="str">
        <f>'Exhibit 1a'!A2</f>
        <v>ATTACHMENT J FORMULA RATES</v>
      </c>
      <c r="B2" s="321"/>
      <c r="C2" s="321"/>
      <c r="D2" s="321"/>
      <c r="E2" s="321"/>
      <c r="F2" s="321"/>
      <c r="G2" s="321"/>
      <c r="H2" s="321"/>
      <c r="I2" s="307" t="s">
        <v>734</v>
      </c>
    </row>
    <row r="3" spans="1:9" ht="15">
      <c r="A3" s="259" t="str">
        <f>'Exhibit 1a'!A3</f>
        <v>RATE YEAR JUNE 1, 2020 TO MAY 31, 2021</v>
      </c>
      <c r="F3" s="321"/>
      <c r="G3" s="321"/>
      <c r="H3" s="321"/>
      <c r="I3" s="321"/>
    </row>
    <row r="4" spans="1:9" ht="15">
      <c r="A4" s="259" t="str">
        <f>'Exhibit 1a'!A4</f>
        <v>Actual ATRR &amp; CHARGES BASED ON ACTUAL CY 2020 VALUES</v>
      </c>
      <c r="F4" s="321"/>
      <c r="G4" s="321"/>
      <c r="H4" s="321"/>
      <c r="I4" s="321"/>
    </row>
    <row r="5" spans="1:9" ht="15">
      <c r="A5" s="276"/>
      <c r="F5" s="321"/>
      <c r="G5" s="321"/>
      <c r="H5" s="321"/>
      <c r="I5" s="321"/>
    </row>
    <row r="6" spans="1:9" ht="15">
      <c r="A6" s="279" t="s">
        <v>592</v>
      </c>
      <c r="F6" s="321"/>
      <c r="G6" s="321"/>
      <c r="H6" s="321"/>
      <c r="I6" s="321"/>
    </row>
    <row r="7" spans="1:9" ht="15">
      <c r="A7" s="305"/>
      <c r="B7" s="321"/>
      <c r="C7" s="321"/>
      <c r="D7" s="321"/>
      <c r="E7" s="321"/>
      <c r="F7" s="321"/>
      <c r="G7" s="321"/>
      <c r="H7" s="321"/>
      <c r="I7" s="321"/>
    </row>
    <row r="8" spans="1:9" ht="15">
      <c r="B8" s="313"/>
      <c r="C8" s="309" t="s">
        <v>66</v>
      </c>
      <c r="D8" s="309" t="s">
        <v>43</v>
      </c>
      <c r="E8" s="309" t="s">
        <v>65</v>
      </c>
      <c r="F8" s="309" t="s">
        <v>64</v>
      </c>
      <c r="G8" s="309" t="s">
        <v>63</v>
      </c>
      <c r="H8" s="309"/>
      <c r="I8" s="309"/>
    </row>
    <row r="9" spans="1:9" ht="15">
      <c r="A9" s="309"/>
      <c r="B9" s="313"/>
      <c r="C9" s="313"/>
      <c r="D9" s="309"/>
      <c r="E9" s="309"/>
      <c r="F9" s="309"/>
      <c r="G9" s="309"/>
      <c r="H9" s="309"/>
      <c r="I9" s="309"/>
    </row>
    <row r="10" spans="1:9" ht="15">
      <c r="A10" s="365" t="s">
        <v>14</v>
      </c>
      <c r="B10" s="380" t="s">
        <v>31</v>
      </c>
      <c r="C10" s="365" t="s">
        <v>363</v>
      </c>
      <c r="D10" s="381" t="s">
        <v>361</v>
      </c>
      <c r="E10" s="372" t="s">
        <v>593</v>
      </c>
      <c r="F10" s="382" t="s">
        <v>362</v>
      </c>
      <c r="G10" s="382" t="s">
        <v>366</v>
      </c>
      <c r="H10" s="382"/>
      <c r="I10" s="365" t="s">
        <v>25</v>
      </c>
    </row>
    <row r="12" spans="1:9">
      <c r="A12" s="352">
        <v>1</v>
      </c>
      <c r="B12" s="759" t="s">
        <v>1194</v>
      </c>
      <c r="C12" s="896" t="s">
        <v>1190</v>
      </c>
      <c r="D12" s="760">
        <v>0</v>
      </c>
      <c r="E12" s="760">
        <v>0</v>
      </c>
      <c r="F12" s="761">
        <v>-451267</v>
      </c>
      <c r="G12" s="760">
        <v>-34331</v>
      </c>
      <c r="H12" s="373"/>
      <c r="I12" s="897">
        <v>0</v>
      </c>
    </row>
    <row r="13" spans="1:9">
      <c r="A13" s="352">
        <v>2</v>
      </c>
      <c r="B13" s="759" t="s">
        <v>1194</v>
      </c>
      <c r="C13" s="896" t="s">
        <v>1191</v>
      </c>
      <c r="D13" s="760">
        <v>0</v>
      </c>
      <c r="E13" s="760">
        <v>0</v>
      </c>
      <c r="F13" s="761">
        <v>-160996</v>
      </c>
      <c r="G13" s="760">
        <v>-3341</v>
      </c>
      <c r="H13" s="373"/>
      <c r="I13" s="897">
        <v>0</v>
      </c>
    </row>
    <row r="14" spans="1:9">
      <c r="A14" s="352">
        <v>3</v>
      </c>
      <c r="B14" s="759" t="s">
        <v>1193</v>
      </c>
      <c r="C14" s="896" t="s">
        <v>1191</v>
      </c>
      <c r="D14" s="760">
        <v>6113051</v>
      </c>
      <c r="E14" s="760">
        <v>6116693</v>
      </c>
      <c r="F14" s="761">
        <v>3642</v>
      </c>
      <c r="G14" s="760">
        <v>205</v>
      </c>
      <c r="H14" s="373"/>
      <c r="I14" s="897">
        <v>0</v>
      </c>
    </row>
    <row r="15" spans="1:9">
      <c r="A15" s="352">
        <v>4</v>
      </c>
      <c r="B15" s="383"/>
      <c r="C15" s="895"/>
      <c r="D15" s="374"/>
      <c r="E15" s="374"/>
      <c r="F15" s="374"/>
      <c r="G15" s="374"/>
      <c r="H15" s="373"/>
      <c r="I15" s="383"/>
    </row>
    <row r="16" spans="1:9">
      <c r="A16" s="352">
        <v>5</v>
      </c>
      <c r="B16" s="383"/>
      <c r="C16" s="895"/>
      <c r="D16" s="374"/>
      <c r="E16" s="374"/>
      <c r="F16" s="374"/>
      <c r="G16" s="374"/>
      <c r="H16" s="373"/>
      <c r="I16" s="383"/>
    </row>
    <row r="17" spans="1:9">
      <c r="A17" s="352">
        <v>6</v>
      </c>
      <c r="B17" s="383"/>
      <c r="C17" s="895"/>
      <c r="D17" s="375"/>
      <c r="E17" s="375"/>
      <c r="F17" s="375"/>
      <c r="G17" s="375"/>
      <c r="H17" s="339"/>
      <c r="I17" s="383"/>
    </row>
    <row r="18" spans="1:9">
      <c r="A18" s="352">
        <v>7</v>
      </c>
      <c r="B18" s="383"/>
      <c r="C18" s="895"/>
      <c r="D18" s="375"/>
      <c r="E18" s="375"/>
      <c r="F18" s="375"/>
      <c r="G18" s="375"/>
      <c r="H18" s="339"/>
      <c r="I18" s="383"/>
    </row>
    <row r="19" spans="1:9">
      <c r="A19" s="352">
        <v>8</v>
      </c>
      <c r="B19" s="383"/>
      <c r="C19" s="895"/>
      <c r="D19" s="375"/>
      <c r="E19" s="375"/>
      <c r="F19" s="375"/>
      <c r="G19" s="375"/>
      <c r="H19" s="339"/>
      <c r="I19" s="383"/>
    </row>
    <row r="20" spans="1:9">
      <c r="A20" s="352">
        <v>9</v>
      </c>
      <c r="B20" s="383"/>
      <c r="C20" s="895"/>
      <c r="D20" s="375"/>
      <c r="E20" s="375"/>
      <c r="F20" s="375"/>
      <c r="G20" s="375"/>
      <c r="H20" s="373"/>
      <c r="I20" s="383"/>
    </row>
    <row r="21" spans="1:9" ht="14.45" customHeight="1">
      <c r="A21" s="352">
        <v>10</v>
      </c>
      <c r="B21" s="383"/>
      <c r="C21" s="895"/>
      <c r="D21" s="375"/>
      <c r="E21" s="375"/>
      <c r="F21" s="375"/>
      <c r="G21" s="375"/>
      <c r="I21" s="383"/>
    </row>
    <row r="22" spans="1:9" ht="15.75" thickBot="1">
      <c r="A22" s="352">
        <v>11</v>
      </c>
      <c r="B22" s="384" t="s">
        <v>126</v>
      </c>
      <c r="C22" s="384"/>
      <c r="D22" s="377"/>
      <c r="E22" s="377"/>
      <c r="F22" s="378">
        <f>SUM(F12:F21)</f>
        <v>-608621</v>
      </c>
      <c r="G22" s="378">
        <f>SUM(G12:G21)</f>
        <v>-37467</v>
      </c>
      <c r="H22" s="338"/>
      <c r="I22" s="256" t="s">
        <v>413</v>
      </c>
    </row>
    <row r="23" spans="1:9" ht="15" thickTop="1"/>
    <row r="24" spans="1:9">
      <c r="A24" s="301" t="s">
        <v>11</v>
      </c>
      <c r="B24" s="364"/>
      <c r="C24" s="364"/>
      <c r="D24" s="364"/>
      <c r="E24" s="364"/>
      <c r="F24" s="364"/>
      <c r="G24" s="364"/>
      <c r="H24" s="364"/>
      <c r="I24" s="364"/>
    </row>
    <row r="25" spans="1:9">
      <c r="A25" s="352">
        <v>1</v>
      </c>
      <c r="B25" s="326" t="s">
        <v>268</v>
      </c>
    </row>
  </sheetData>
  <pageMargins left="0.5" right="0.5" top="0.5" bottom="0.5" header="0" footer="0"/>
  <pageSetup paperSize="5" scale="83"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J38"/>
  <sheetViews>
    <sheetView view="pageBreakPreview" zoomScale="81" zoomScaleNormal="85" zoomScaleSheetLayoutView="81" workbookViewId="0"/>
  </sheetViews>
  <sheetFormatPr defaultColWidth="8.88671875" defaultRowHeight="14.25"/>
  <cols>
    <col min="1" max="1" width="4.21875" style="222" customWidth="1"/>
    <col min="2" max="2" width="63.88671875" style="533" customWidth="1"/>
    <col min="3" max="8" width="14.44140625" style="222" customWidth="1"/>
    <col min="9" max="9" width="2.109375" style="222" customWidth="1"/>
    <col min="10" max="10" width="56.33203125" style="222" bestFit="1" customWidth="1"/>
    <col min="11" max="16384" width="8.88671875" style="222"/>
  </cols>
  <sheetData>
    <row r="1" spans="1:10" ht="15">
      <c r="A1" s="259" t="str">
        <f>'Exhibit 1a'!A1</f>
        <v>VERSANT POWER – MAINE PUBLIC DISTRICT OATT</v>
      </c>
      <c r="B1" s="511"/>
      <c r="C1" s="512"/>
      <c r="D1" s="512"/>
      <c r="E1" s="512"/>
      <c r="F1" s="512"/>
      <c r="G1" s="512"/>
      <c r="H1" s="512"/>
      <c r="I1" s="512"/>
      <c r="J1" s="513"/>
    </row>
    <row r="2" spans="1:10" ht="15">
      <c r="A2" s="259" t="str">
        <f>'Exhibit 1a'!A2</f>
        <v>ATTACHMENT J FORMULA RATES</v>
      </c>
      <c r="B2" s="511"/>
      <c r="C2" s="512"/>
      <c r="D2" s="512"/>
      <c r="E2" s="512"/>
      <c r="F2" s="512"/>
      <c r="G2" s="512"/>
      <c r="H2" s="512"/>
      <c r="I2" s="512"/>
      <c r="J2" s="512"/>
    </row>
    <row r="3" spans="1:10" ht="15">
      <c r="A3" s="259" t="str">
        <f>'Exhibit 1a'!A3</f>
        <v>RATE YEAR JUNE 1, 2020 TO MAY 31, 2021</v>
      </c>
      <c r="B3" s="511"/>
      <c r="C3" s="512"/>
      <c r="D3" s="512"/>
      <c r="E3" s="512"/>
      <c r="F3" s="512"/>
      <c r="G3" s="512"/>
      <c r="H3" s="512"/>
      <c r="I3" s="512"/>
      <c r="J3" s="512"/>
    </row>
    <row r="4" spans="1:10" ht="15">
      <c r="A4" s="259" t="str">
        <f>'Exhibit 1a'!A4</f>
        <v>Actual ATRR &amp; CHARGES BASED ON ACTUAL CY 2020 VALUES</v>
      </c>
      <c r="B4" s="511"/>
      <c r="C4" s="512"/>
      <c r="D4" s="512"/>
      <c r="E4" s="512"/>
      <c r="F4" s="512"/>
      <c r="G4" s="512"/>
      <c r="H4" s="512"/>
      <c r="I4" s="512"/>
      <c r="J4" s="512"/>
    </row>
    <row r="5" spans="1:10" ht="15">
      <c r="A5" s="514"/>
      <c r="B5" s="511"/>
      <c r="C5" s="512"/>
      <c r="D5" s="512"/>
      <c r="E5" s="512"/>
      <c r="F5" s="512"/>
      <c r="G5" s="512"/>
      <c r="H5" s="512"/>
      <c r="I5" s="512"/>
      <c r="J5" s="512"/>
    </row>
    <row r="6" spans="1:10" ht="15">
      <c r="A6" s="428" t="s">
        <v>747</v>
      </c>
      <c r="B6" s="511"/>
      <c r="C6" s="512"/>
      <c r="D6" s="512"/>
      <c r="E6" s="512"/>
      <c r="F6" s="512"/>
      <c r="G6" s="512"/>
      <c r="H6" s="512"/>
      <c r="I6" s="512"/>
      <c r="J6" s="512"/>
    </row>
    <row r="7" spans="1:10" ht="15">
      <c r="A7" s="428"/>
      <c r="B7" s="511"/>
      <c r="C7" s="512"/>
      <c r="D7" s="512"/>
      <c r="E7" s="512"/>
      <c r="F7" s="512"/>
      <c r="G7" s="512"/>
      <c r="H7" s="512"/>
      <c r="I7" s="512"/>
      <c r="J7" s="512"/>
    </row>
    <row r="8" spans="1:10" ht="15">
      <c r="A8" s="428"/>
      <c r="B8" s="511"/>
      <c r="C8" s="515" t="s">
        <v>66</v>
      </c>
      <c r="D8" s="515" t="s">
        <v>43</v>
      </c>
      <c r="E8" s="515" t="s">
        <v>65</v>
      </c>
      <c r="F8" s="515" t="s">
        <v>64</v>
      </c>
      <c r="G8" s="515" t="s">
        <v>63</v>
      </c>
      <c r="H8" s="515" t="s">
        <v>62</v>
      </c>
      <c r="I8" s="512"/>
      <c r="J8" s="512"/>
    </row>
    <row r="9" spans="1:10" ht="15">
      <c r="A9" s="428"/>
      <c r="B9" s="511"/>
      <c r="C9" s="512"/>
      <c r="D9" s="512"/>
      <c r="E9" s="512"/>
      <c r="F9" s="512"/>
      <c r="G9" s="512"/>
      <c r="H9" s="512"/>
      <c r="I9" s="512"/>
      <c r="J9" s="512"/>
    </row>
    <row r="10" spans="1:10" ht="15">
      <c r="A10" s="516"/>
      <c r="B10" s="511"/>
      <c r="C10" s="957">
        <v>2020</v>
      </c>
      <c r="D10" s="957"/>
      <c r="E10" s="957"/>
      <c r="F10" s="957"/>
      <c r="G10" s="957"/>
      <c r="H10" s="957"/>
      <c r="I10" s="512"/>
      <c r="J10" s="512"/>
    </row>
    <row r="11" spans="1:10" ht="30">
      <c r="A11" s="517" t="s">
        <v>14</v>
      </c>
      <c r="B11" s="518" t="s">
        <v>13</v>
      </c>
      <c r="C11" s="519" t="s">
        <v>748</v>
      </c>
      <c r="D11" s="519" t="s">
        <v>749</v>
      </c>
      <c r="E11" s="519" t="s">
        <v>750</v>
      </c>
      <c r="F11" s="519" t="s">
        <v>751</v>
      </c>
      <c r="G11" s="519" t="s">
        <v>752</v>
      </c>
      <c r="H11" s="519" t="s">
        <v>753</v>
      </c>
      <c r="I11" s="515"/>
      <c r="J11" s="517" t="s">
        <v>754</v>
      </c>
    </row>
    <row r="12" spans="1:10" ht="15">
      <c r="A12" s="568"/>
      <c r="B12" s="520"/>
      <c r="C12" s="515"/>
      <c r="D12" s="515"/>
      <c r="E12" s="515"/>
      <c r="F12" s="515"/>
      <c r="G12" s="515"/>
      <c r="H12" s="515"/>
      <c r="I12" s="515"/>
      <c r="J12" s="568"/>
    </row>
    <row r="13" spans="1:10" ht="15">
      <c r="A13" s="521">
        <v>1</v>
      </c>
      <c r="B13" s="522" t="s">
        <v>755</v>
      </c>
      <c r="C13" s="515"/>
      <c r="D13" s="515"/>
      <c r="E13" s="515"/>
      <c r="F13" s="515"/>
      <c r="G13" s="515"/>
      <c r="H13" s="515"/>
      <c r="I13" s="515"/>
      <c r="J13" s="568"/>
    </row>
    <row r="14" spans="1:10">
      <c r="A14" s="521">
        <f>A13+1</f>
        <v>2</v>
      </c>
      <c r="B14" s="523" t="s">
        <v>756</v>
      </c>
      <c r="C14" s="524">
        <v>218477.33000000002</v>
      </c>
      <c r="D14" s="524">
        <v>-20676.148317874999</v>
      </c>
      <c r="E14" s="524">
        <v>-25067.542650874999</v>
      </c>
      <c r="F14" s="524">
        <v>-33898</v>
      </c>
      <c r="G14" s="524">
        <v>-34285</v>
      </c>
      <c r="H14" s="524">
        <f>-E14+D14</f>
        <v>4391.3943330000002</v>
      </c>
      <c r="I14" s="525"/>
      <c r="J14" s="526" t="s">
        <v>90</v>
      </c>
    </row>
    <row r="15" spans="1:10">
      <c r="A15" s="521">
        <f t="shared" ref="A15:A37" si="0">A14+1</f>
        <v>3</v>
      </c>
      <c r="B15" s="523" t="s">
        <v>757</v>
      </c>
      <c r="C15" s="527">
        <f t="shared" ref="C15:H15" si="1">C14*0.8</f>
        <v>174781.86400000003</v>
      </c>
      <c r="D15" s="527">
        <f t="shared" si="1"/>
        <v>-16540.9186543</v>
      </c>
      <c r="E15" s="527">
        <f t="shared" si="1"/>
        <v>-20054.034120700002</v>
      </c>
      <c r="F15" s="527">
        <f t="shared" si="1"/>
        <v>-27118.400000000001</v>
      </c>
      <c r="G15" s="527">
        <f t="shared" si="1"/>
        <v>-27428</v>
      </c>
      <c r="H15" s="527">
        <f t="shared" si="1"/>
        <v>3513.1154664000005</v>
      </c>
      <c r="I15" s="525"/>
      <c r="J15" s="526" t="s">
        <v>758</v>
      </c>
    </row>
    <row r="16" spans="1:10">
      <c r="A16" s="521">
        <f t="shared" si="0"/>
        <v>4</v>
      </c>
      <c r="B16" s="523"/>
      <c r="C16" s="527"/>
      <c r="D16" s="527"/>
      <c r="E16" s="527"/>
      <c r="F16" s="527"/>
      <c r="G16" s="527"/>
      <c r="H16" s="527"/>
      <c r="I16" s="525"/>
      <c r="J16" s="526"/>
    </row>
    <row r="17" spans="1:10" ht="15">
      <c r="A17" s="521">
        <f t="shared" si="0"/>
        <v>5</v>
      </c>
      <c r="B17" s="522" t="s">
        <v>759</v>
      </c>
      <c r="C17" s="525"/>
      <c r="D17" s="525"/>
      <c r="E17" s="525"/>
      <c r="F17" s="525"/>
      <c r="G17" s="525"/>
      <c r="H17" s="525"/>
      <c r="I17" s="525"/>
      <c r="J17" s="526"/>
    </row>
    <row r="18" spans="1:10">
      <c r="A18" s="521">
        <f>A17+1</f>
        <v>6</v>
      </c>
      <c r="B18" s="523" t="s">
        <v>760</v>
      </c>
      <c r="C18" s="562">
        <v>0</v>
      </c>
      <c r="D18" s="562">
        <v>0</v>
      </c>
      <c r="E18" s="562">
        <v>0</v>
      </c>
      <c r="F18" s="562">
        <v>0</v>
      </c>
      <c r="G18" s="562">
        <v>0</v>
      </c>
      <c r="H18" s="527">
        <f>-E18+D18</f>
        <v>0</v>
      </c>
      <c r="I18" s="525"/>
      <c r="J18" s="526" t="s">
        <v>90</v>
      </c>
    </row>
    <row r="19" spans="1:10" ht="28.5">
      <c r="A19" s="521">
        <f t="shared" si="0"/>
        <v>7</v>
      </c>
      <c r="B19" s="523" t="s">
        <v>761</v>
      </c>
      <c r="C19" s="562">
        <v>0</v>
      </c>
      <c r="D19" s="562">
        <v>0</v>
      </c>
      <c r="E19" s="562">
        <v>0</v>
      </c>
      <c r="F19" s="562">
        <v>0</v>
      </c>
      <c r="G19" s="562">
        <v>0</v>
      </c>
      <c r="H19" s="527">
        <f>-E19+D19</f>
        <v>0</v>
      </c>
      <c r="I19" s="525"/>
      <c r="J19" s="526" t="s">
        <v>90</v>
      </c>
    </row>
    <row r="20" spans="1:10" ht="19.5" customHeight="1">
      <c r="A20" s="521">
        <f t="shared" si="0"/>
        <v>8</v>
      </c>
      <c r="B20" s="528" t="s">
        <v>245</v>
      </c>
      <c r="C20" s="561">
        <f>SUM(C18:C19)</f>
        <v>0</v>
      </c>
      <c r="D20" s="561">
        <f t="shared" ref="D20:H20" si="2">SUM(D18:D19)</f>
        <v>0</v>
      </c>
      <c r="E20" s="561">
        <f t="shared" si="2"/>
        <v>0</v>
      </c>
      <c r="F20" s="561">
        <f t="shared" si="2"/>
        <v>0</v>
      </c>
      <c r="G20" s="561">
        <f t="shared" si="2"/>
        <v>0</v>
      </c>
      <c r="H20" s="561">
        <f t="shared" si="2"/>
        <v>0</v>
      </c>
      <c r="I20" s="525"/>
      <c r="J20" s="525" t="s">
        <v>763</v>
      </c>
    </row>
    <row r="21" spans="1:10" ht="19.5" customHeight="1">
      <c r="A21" s="521">
        <f t="shared" si="0"/>
        <v>9</v>
      </c>
      <c r="B21" s="522" t="s">
        <v>854</v>
      </c>
      <c r="C21" s="562"/>
      <c r="D21" s="562"/>
      <c r="E21" s="562"/>
      <c r="F21" s="562"/>
      <c r="G21" s="562"/>
      <c r="H21" s="562"/>
      <c r="I21" s="525"/>
      <c r="J21" s="525"/>
    </row>
    <row r="22" spans="1:10" ht="18.75" customHeight="1">
      <c r="A22" s="521">
        <f t="shared" si="0"/>
        <v>10</v>
      </c>
      <c r="B22" s="523" t="s">
        <v>762</v>
      </c>
      <c r="C22" s="562">
        <v>111604.17</v>
      </c>
      <c r="D22" s="562">
        <v>-90329.625093749986</v>
      </c>
      <c r="E22" s="562">
        <v>-109860.35484374998</v>
      </c>
      <c r="F22" s="562">
        <v>-5067</v>
      </c>
      <c r="G22" s="562">
        <v>-489</v>
      </c>
      <c r="H22" s="527">
        <f>-E22+D22</f>
        <v>19530.729749999999</v>
      </c>
      <c r="I22" s="525"/>
      <c r="J22" s="526" t="s">
        <v>857</v>
      </c>
    </row>
    <row r="23" spans="1:10" ht="13.5" customHeight="1">
      <c r="A23" s="521">
        <f t="shared" si="0"/>
        <v>11</v>
      </c>
      <c r="B23" s="529"/>
      <c r="C23" s="530"/>
      <c r="D23" s="530"/>
      <c r="E23" s="530"/>
      <c r="F23" s="530"/>
      <c r="G23" s="530"/>
      <c r="H23" s="530"/>
      <c r="I23" s="512"/>
      <c r="J23" s="512"/>
    </row>
    <row r="24" spans="1:10" ht="30">
      <c r="A24" s="521">
        <f t="shared" si="0"/>
        <v>12</v>
      </c>
      <c r="B24" s="531" t="s">
        <v>764</v>
      </c>
      <c r="C24" s="532" t="s">
        <v>765</v>
      </c>
      <c r="D24" s="532" t="s">
        <v>766</v>
      </c>
      <c r="E24" s="532" t="s">
        <v>865</v>
      </c>
      <c r="F24" s="456" t="s">
        <v>767</v>
      </c>
      <c r="G24" s="364"/>
      <c r="H24" s="364"/>
      <c r="J24" s="517" t="s">
        <v>754</v>
      </c>
    </row>
    <row r="25" spans="1:10">
      <c r="A25" s="521">
        <f t="shared" si="0"/>
        <v>13</v>
      </c>
      <c r="B25" s="898">
        <v>43800</v>
      </c>
      <c r="C25" s="486">
        <f>D15</f>
        <v>-16540.9186543</v>
      </c>
      <c r="D25" s="486">
        <f>+D22</f>
        <v>-90329.625093749986</v>
      </c>
      <c r="E25" s="486">
        <f>+D20</f>
        <v>0</v>
      </c>
      <c r="F25" s="486">
        <f>F20+F15+F22</f>
        <v>-32185.4</v>
      </c>
      <c r="J25" s="222" t="s">
        <v>1203</v>
      </c>
    </row>
    <row r="26" spans="1:10">
      <c r="A26" s="521">
        <f t="shared" si="0"/>
        <v>14</v>
      </c>
      <c r="B26" s="898">
        <v>43831</v>
      </c>
      <c r="C26" s="486">
        <f>C25+(C$37-C$25)/12</f>
        <v>-16833.678276499999</v>
      </c>
      <c r="D26" s="486">
        <f>D25+(D$37-D$25)/12</f>
        <v>-91957.185906249986</v>
      </c>
      <c r="E26" s="486">
        <f>E25</f>
        <v>0</v>
      </c>
      <c r="F26" s="486">
        <f>F25+(F$37-F$25)/12</f>
        <v>-31829.7</v>
      </c>
      <c r="J26" s="222" t="s">
        <v>855</v>
      </c>
    </row>
    <row r="27" spans="1:10">
      <c r="A27" s="521">
        <f t="shared" si="0"/>
        <v>15</v>
      </c>
      <c r="B27" s="898">
        <v>43862</v>
      </c>
      <c r="C27" s="486">
        <f t="shared" ref="C27:D36" si="3">C26+(C$37-C$25)/12</f>
        <v>-17126.437898699998</v>
      </c>
      <c r="D27" s="486">
        <f>D26+(D$37-D$25)/12</f>
        <v>-93584.746718749986</v>
      </c>
      <c r="E27" s="486">
        <f t="shared" ref="E27:E36" si="4">E26</f>
        <v>0</v>
      </c>
      <c r="F27" s="486">
        <f>F26+(F$37-F$25)/12</f>
        <v>-31474</v>
      </c>
      <c r="J27" s="222" t="s">
        <v>855</v>
      </c>
    </row>
    <row r="28" spans="1:10">
      <c r="A28" s="521">
        <f t="shared" si="0"/>
        <v>16</v>
      </c>
      <c r="B28" s="898">
        <v>43891</v>
      </c>
      <c r="C28" s="486">
        <f t="shared" si="3"/>
        <v>-17419.197520899997</v>
      </c>
      <c r="D28" s="486">
        <f t="shared" si="3"/>
        <v>-95212.307531249986</v>
      </c>
      <c r="E28" s="486">
        <f t="shared" si="4"/>
        <v>0</v>
      </c>
      <c r="F28" s="486">
        <f t="shared" ref="F28:F36" si="5">F27+(F$37-F$25)/12</f>
        <v>-31118.3</v>
      </c>
      <c r="J28" s="222" t="s">
        <v>855</v>
      </c>
    </row>
    <row r="29" spans="1:10">
      <c r="A29" s="521">
        <f t="shared" si="0"/>
        <v>17</v>
      </c>
      <c r="B29" s="898">
        <v>43922</v>
      </c>
      <c r="C29" s="486">
        <f t="shared" si="3"/>
        <v>-17711.957143099997</v>
      </c>
      <c r="D29" s="486">
        <f t="shared" si="3"/>
        <v>-96839.868343749986</v>
      </c>
      <c r="E29" s="486">
        <f t="shared" si="4"/>
        <v>0</v>
      </c>
      <c r="F29" s="486">
        <f t="shared" si="5"/>
        <v>-30762.6</v>
      </c>
      <c r="J29" s="222" t="s">
        <v>855</v>
      </c>
    </row>
    <row r="30" spans="1:10">
      <c r="A30" s="521">
        <f t="shared" si="0"/>
        <v>18</v>
      </c>
      <c r="B30" s="898">
        <v>43952</v>
      </c>
      <c r="C30" s="486">
        <f t="shared" si="3"/>
        <v>-18004.716765299996</v>
      </c>
      <c r="D30" s="486">
        <f t="shared" si="3"/>
        <v>-98467.429156249986</v>
      </c>
      <c r="E30" s="486">
        <f t="shared" si="4"/>
        <v>0</v>
      </c>
      <c r="F30" s="486">
        <f t="shared" si="5"/>
        <v>-30406.899999999998</v>
      </c>
      <c r="J30" s="222" t="s">
        <v>855</v>
      </c>
    </row>
    <row r="31" spans="1:10">
      <c r="A31" s="521">
        <f t="shared" si="0"/>
        <v>19</v>
      </c>
      <c r="B31" s="898">
        <v>43983</v>
      </c>
      <c r="C31" s="486">
        <f t="shared" si="3"/>
        <v>-18297.476387499995</v>
      </c>
      <c r="D31" s="486">
        <f t="shared" si="3"/>
        <v>-100094.98996874999</v>
      </c>
      <c r="E31" s="486">
        <f t="shared" si="4"/>
        <v>0</v>
      </c>
      <c r="F31" s="486">
        <f t="shared" si="5"/>
        <v>-30051.199999999997</v>
      </c>
      <c r="J31" s="222" t="s">
        <v>855</v>
      </c>
    </row>
    <row r="32" spans="1:10">
      <c r="A32" s="521">
        <f t="shared" si="0"/>
        <v>20</v>
      </c>
      <c r="B32" s="898">
        <v>44013</v>
      </c>
      <c r="C32" s="486">
        <f t="shared" si="3"/>
        <v>-18590.236009699995</v>
      </c>
      <c r="D32" s="486">
        <f t="shared" si="3"/>
        <v>-101722.55078124999</v>
      </c>
      <c r="E32" s="486">
        <f t="shared" si="4"/>
        <v>0</v>
      </c>
      <c r="F32" s="486">
        <f t="shared" si="5"/>
        <v>-29695.499999999996</v>
      </c>
      <c r="J32" s="222" t="s">
        <v>855</v>
      </c>
    </row>
    <row r="33" spans="1:10">
      <c r="A33" s="521">
        <f t="shared" si="0"/>
        <v>21</v>
      </c>
      <c r="B33" s="898">
        <v>44044</v>
      </c>
      <c r="C33" s="486">
        <f t="shared" si="3"/>
        <v>-18882.995631899994</v>
      </c>
      <c r="D33" s="486">
        <f t="shared" si="3"/>
        <v>-103350.11159374999</v>
      </c>
      <c r="E33" s="486">
        <f t="shared" si="4"/>
        <v>0</v>
      </c>
      <c r="F33" s="486">
        <f t="shared" si="5"/>
        <v>-29339.799999999996</v>
      </c>
      <c r="J33" s="222" t="s">
        <v>855</v>
      </c>
    </row>
    <row r="34" spans="1:10">
      <c r="A34" s="521">
        <f t="shared" si="0"/>
        <v>22</v>
      </c>
      <c r="B34" s="898">
        <v>44075</v>
      </c>
      <c r="C34" s="486">
        <f t="shared" si="3"/>
        <v>-19175.755254099993</v>
      </c>
      <c r="D34" s="486">
        <f t="shared" si="3"/>
        <v>-104977.67240624999</v>
      </c>
      <c r="E34" s="486">
        <f t="shared" si="4"/>
        <v>0</v>
      </c>
      <c r="F34" s="486">
        <f t="shared" si="5"/>
        <v>-28984.099999999995</v>
      </c>
      <c r="J34" s="222" t="s">
        <v>855</v>
      </c>
    </row>
    <row r="35" spans="1:10">
      <c r="A35" s="521">
        <f t="shared" si="0"/>
        <v>23</v>
      </c>
      <c r="B35" s="898">
        <v>44105</v>
      </c>
      <c r="C35" s="486">
        <f t="shared" si="3"/>
        <v>-19468.514876299992</v>
      </c>
      <c r="D35" s="486">
        <f t="shared" si="3"/>
        <v>-106605.23321874999</v>
      </c>
      <c r="E35" s="486">
        <f t="shared" si="4"/>
        <v>0</v>
      </c>
      <c r="F35" s="486">
        <f t="shared" si="5"/>
        <v>-28628.399999999994</v>
      </c>
      <c r="J35" s="222" t="s">
        <v>855</v>
      </c>
    </row>
    <row r="36" spans="1:10">
      <c r="A36" s="521">
        <f t="shared" si="0"/>
        <v>24</v>
      </c>
      <c r="B36" s="898">
        <v>44136</v>
      </c>
      <c r="C36" s="486">
        <f t="shared" si="3"/>
        <v>-19761.274498499992</v>
      </c>
      <c r="D36" s="486">
        <f t="shared" si="3"/>
        <v>-108232.79403124998</v>
      </c>
      <c r="E36" s="486">
        <f t="shared" si="4"/>
        <v>0</v>
      </c>
      <c r="F36" s="486">
        <f t="shared" si="5"/>
        <v>-28272.699999999993</v>
      </c>
      <c r="J36" s="222" t="s">
        <v>855</v>
      </c>
    </row>
    <row r="37" spans="1:10">
      <c r="A37" s="521">
        <f t="shared" si="0"/>
        <v>25</v>
      </c>
      <c r="B37" s="898">
        <v>44166</v>
      </c>
      <c r="C37" s="486">
        <f>E15</f>
        <v>-20054.034120700002</v>
      </c>
      <c r="D37" s="486">
        <f>E22</f>
        <v>-109860.35484374998</v>
      </c>
      <c r="E37" s="486">
        <f>E20</f>
        <v>0</v>
      </c>
      <c r="F37" s="486">
        <f>G20+G15+G22</f>
        <v>-27917</v>
      </c>
      <c r="J37" s="222" t="s">
        <v>1204</v>
      </c>
    </row>
    <row r="38" spans="1:10">
      <c r="C38" s="533"/>
      <c r="J38" s="222" t="s">
        <v>856</v>
      </c>
    </row>
  </sheetData>
  <mergeCells count="1">
    <mergeCell ref="C10:H10"/>
  </mergeCells>
  <pageMargins left="0.5" right="0.5" top="0.5" bottom="0.5" header="0" footer="0"/>
  <pageSetup paperSize="5" scale="65" orientation="landscape"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21"/>
  <sheetViews>
    <sheetView view="pageBreakPreview" zoomScale="81" zoomScaleNormal="85" zoomScaleSheetLayoutView="81" workbookViewId="0"/>
  </sheetViews>
  <sheetFormatPr defaultColWidth="8.88671875" defaultRowHeight="14.25"/>
  <cols>
    <col min="1" max="1" width="3.6640625" style="451" customWidth="1"/>
    <col min="2" max="2" width="16.5546875" style="451" customWidth="1"/>
    <col min="3" max="3" width="12.33203125" style="451" bestFit="1" customWidth="1"/>
    <col min="4" max="5" width="11.44140625" style="451" bestFit="1" customWidth="1"/>
    <col min="6" max="6" width="10.5546875" style="451" bestFit="1" customWidth="1"/>
    <col min="7" max="7" width="11" style="451" bestFit="1" customWidth="1"/>
    <col min="8" max="10" width="8.88671875" style="451"/>
    <col min="11" max="11" width="11.44140625" style="451" bestFit="1" customWidth="1"/>
    <col min="12" max="16384" width="8.88671875" style="451"/>
  </cols>
  <sheetData>
    <row r="1" spans="1:15" ht="15">
      <c r="A1" s="379" t="str">
        <f>'Exhibit 1a'!A1</f>
        <v>VERSANT POWER – MAINE PUBLIC DISTRICT OATT</v>
      </c>
    </row>
    <row r="2" spans="1:15" ht="15">
      <c r="A2" s="379" t="str">
        <f>'Exhibit 1a'!A2</f>
        <v>ATTACHMENT J FORMULA RATES</v>
      </c>
    </row>
    <row r="3" spans="1:15" ht="15">
      <c r="A3" s="379" t="str">
        <f>'Exhibit 1a'!A3</f>
        <v>RATE YEAR JUNE 1, 2020 TO MAY 31, 2021</v>
      </c>
    </row>
    <row r="4" spans="1:15" ht="15">
      <c r="A4" s="379" t="str">
        <f>'Exhibit 1a'!A4</f>
        <v>Actual ATRR &amp; CHARGES BASED ON ACTUAL CY 2020 VALUES</v>
      </c>
      <c r="B4" s="770"/>
    </row>
    <row r="5" spans="1:15" ht="15">
      <c r="A5" s="771"/>
      <c r="B5" s="771"/>
    </row>
    <row r="6" spans="1:15">
      <c r="C6" s="772"/>
    </row>
    <row r="7" spans="1:15">
      <c r="A7" s="767" t="s">
        <v>1177</v>
      </c>
      <c r="B7" s="222"/>
      <c r="C7" s="222"/>
      <c r="D7" s="222"/>
      <c r="E7" s="222"/>
      <c r="F7" s="222"/>
      <c r="G7" s="222"/>
      <c r="H7" s="762"/>
      <c r="I7" s="222"/>
      <c r="J7" s="222"/>
      <c r="K7" s="222"/>
      <c r="L7" s="222"/>
      <c r="M7" s="222"/>
      <c r="N7" s="222"/>
      <c r="O7" s="222"/>
    </row>
    <row r="8" spans="1:15">
      <c r="A8" s="767"/>
      <c r="B8" s="222" t="s">
        <v>1172</v>
      </c>
      <c r="C8" s="373">
        <v>8639859</v>
      </c>
      <c r="D8" s="222"/>
      <c r="E8" s="222"/>
      <c r="F8" s="222"/>
      <c r="G8" s="222"/>
      <c r="H8" s="222"/>
      <c r="I8" s="222"/>
      <c r="J8" s="222"/>
      <c r="K8" s="222"/>
      <c r="L8" s="222"/>
      <c r="M8" s="222"/>
      <c r="N8" s="222"/>
      <c r="O8" s="222"/>
    </row>
    <row r="9" spans="1:15">
      <c r="A9" s="767"/>
      <c r="B9" s="222" t="s">
        <v>1173</v>
      </c>
      <c r="C9" s="373">
        <v>6228781.508799999</v>
      </c>
      <c r="D9" s="222"/>
      <c r="E9" s="222"/>
      <c r="F9" s="222"/>
      <c r="G9" s="222"/>
      <c r="H9" s="222"/>
      <c r="I9" s="222"/>
      <c r="J9" s="222"/>
      <c r="K9" s="222"/>
      <c r="L9" s="222"/>
      <c r="M9" s="222"/>
      <c r="N9" s="222"/>
      <c r="O9" s="222"/>
    </row>
    <row r="10" spans="1:15">
      <c r="A10" s="767"/>
      <c r="B10" s="222" t="s">
        <v>1036</v>
      </c>
      <c r="C10" s="768">
        <f>C9-C8</f>
        <v>-2411077.491200001</v>
      </c>
      <c r="D10" s="222"/>
      <c r="E10" s="222"/>
      <c r="F10" s="222"/>
      <c r="G10" s="222"/>
      <c r="H10" s="222"/>
      <c r="I10" s="222"/>
      <c r="J10" s="222"/>
      <c r="K10" s="222"/>
      <c r="L10" s="222"/>
      <c r="M10" s="222"/>
      <c r="N10" s="222"/>
      <c r="O10" s="222"/>
    </row>
    <row r="11" spans="1:15" ht="15">
      <c r="A11" s="222"/>
      <c r="B11" s="428"/>
      <c r="C11" s="428"/>
      <c r="D11" s="222"/>
      <c r="E11" s="222"/>
      <c r="F11" s="222"/>
      <c r="G11" s="222"/>
      <c r="H11" s="222"/>
      <c r="I11" s="222"/>
      <c r="J11" s="222"/>
      <c r="K11" s="222"/>
      <c r="L11" s="222"/>
      <c r="M11" s="222"/>
      <c r="N11" s="222"/>
      <c r="O11" s="222"/>
    </row>
    <row r="12" spans="1:15">
      <c r="A12" s="222"/>
      <c r="B12" s="222" t="s">
        <v>869</v>
      </c>
      <c r="C12" s="486">
        <f>C10</f>
        <v>-2411077.491200001</v>
      </c>
      <c r="D12" s="451" t="s">
        <v>1181</v>
      </c>
      <c r="E12" s="222"/>
      <c r="F12" s="222"/>
      <c r="G12" s="222"/>
      <c r="H12" s="222"/>
      <c r="I12" s="222"/>
      <c r="J12" s="222"/>
      <c r="K12" s="222"/>
      <c r="L12" s="222"/>
      <c r="M12" s="222"/>
      <c r="N12" s="222"/>
      <c r="O12" s="222"/>
    </row>
    <row r="13" spans="1:15">
      <c r="A13" s="222"/>
      <c r="B13" s="222" t="s">
        <v>868</v>
      </c>
      <c r="C13" s="222" t="s">
        <v>1174</v>
      </c>
      <c r="D13" s="222"/>
      <c r="E13" s="222"/>
      <c r="F13" s="222"/>
      <c r="G13" s="222"/>
      <c r="H13" s="222"/>
      <c r="I13" s="222"/>
      <c r="J13" s="222"/>
      <c r="K13" s="222"/>
      <c r="L13" s="222"/>
      <c r="M13" s="222"/>
      <c r="N13" s="222"/>
      <c r="O13" s="222"/>
    </row>
    <row r="14" spans="1:15">
      <c r="A14" s="222"/>
      <c r="B14" s="222"/>
      <c r="C14" s="222"/>
      <c r="D14" s="222"/>
      <c r="E14" s="222"/>
      <c r="F14" s="222"/>
      <c r="G14" s="222"/>
      <c r="H14" s="222"/>
      <c r="I14" s="222"/>
      <c r="J14" s="222"/>
      <c r="K14" s="222"/>
      <c r="L14" s="222"/>
      <c r="M14" s="222"/>
      <c r="N14" s="222"/>
      <c r="O14" s="222"/>
    </row>
    <row r="15" spans="1:15">
      <c r="A15" s="222"/>
      <c r="B15" s="222"/>
      <c r="C15" s="352" t="s">
        <v>350</v>
      </c>
      <c r="D15" s="352" t="s">
        <v>349</v>
      </c>
      <c r="E15" s="352" t="s">
        <v>351</v>
      </c>
      <c r="F15" s="352" t="s">
        <v>352</v>
      </c>
      <c r="G15" s="352" t="s">
        <v>353</v>
      </c>
      <c r="H15" s="352" t="s">
        <v>235</v>
      </c>
      <c r="I15" s="352" t="s">
        <v>354</v>
      </c>
      <c r="J15" s="352" t="s">
        <v>355</v>
      </c>
      <c r="K15" s="352" t="s">
        <v>356</v>
      </c>
      <c r="L15" s="352" t="s">
        <v>357</v>
      </c>
      <c r="M15" s="352" t="s">
        <v>358</v>
      </c>
      <c r="N15" s="352" t="s">
        <v>359</v>
      </c>
      <c r="O15" s="352" t="s">
        <v>350</v>
      </c>
    </row>
    <row r="16" spans="1:15">
      <c r="A16" s="222"/>
      <c r="B16" s="222"/>
      <c r="C16" s="888">
        <v>2019</v>
      </c>
      <c r="D16" s="888">
        <v>2020</v>
      </c>
      <c r="E16" s="888">
        <v>2020</v>
      </c>
      <c r="F16" s="888">
        <v>2020</v>
      </c>
      <c r="G16" s="888">
        <v>2020</v>
      </c>
      <c r="H16" s="888">
        <v>2020</v>
      </c>
      <c r="I16" s="888">
        <v>2020</v>
      </c>
      <c r="J16" s="888">
        <v>2020</v>
      </c>
      <c r="K16" s="888">
        <v>2020</v>
      </c>
      <c r="L16" s="888">
        <v>2020</v>
      </c>
      <c r="M16" s="888">
        <v>2020</v>
      </c>
      <c r="N16" s="888">
        <v>2020</v>
      </c>
      <c r="O16" s="888">
        <v>2020</v>
      </c>
    </row>
    <row r="17" spans="1:15">
      <c r="A17" s="222"/>
      <c r="B17" s="222"/>
      <c r="C17" s="373">
        <v>143664.97510081925</v>
      </c>
      <c r="D17" s="373">
        <v>147655.66510081926</v>
      </c>
      <c r="E17" s="373">
        <v>151646.35510081926</v>
      </c>
      <c r="F17" s="373">
        <v>155637.04510081926</v>
      </c>
      <c r="G17" s="373">
        <v>159627.73510081926</v>
      </c>
      <c r="H17" s="373">
        <v>159627.73510081926</v>
      </c>
      <c r="I17" s="373">
        <v>159627.73510081926</v>
      </c>
      <c r="J17" s="373">
        <v>159627.73510081926</v>
      </c>
      <c r="K17" s="373">
        <v>159627.73510081926</v>
      </c>
      <c r="L17" s="373">
        <v>159627.73510081926</v>
      </c>
      <c r="M17" s="373">
        <v>159627.73510081926</v>
      </c>
      <c r="N17" s="373">
        <v>159627.73510081926</v>
      </c>
      <c r="O17" s="373">
        <v>159627.73510081926</v>
      </c>
    </row>
    <row r="18" spans="1:15">
      <c r="A18" s="222"/>
      <c r="B18" s="222"/>
      <c r="C18" s="222"/>
      <c r="D18" s="486"/>
      <c r="E18" s="486"/>
      <c r="F18" s="486"/>
      <c r="G18" s="486"/>
      <c r="H18" s="486"/>
      <c r="I18" s="486"/>
      <c r="J18" s="486"/>
      <c r="K18" s="486"/>
      <c r="L18" s="486"/>
      <c r="M18" s="486"/>
      <c r="N18" s="486"/>
      <c r="O18" s="486"/>
    </row>
    <row r="19" spans="1:15">
      <c r="A19" s="222"/>
      <c r="B19" s="222" t="s">
        <v>867</v>
      </c>
      <c r="C19" s="772">
        <f>-(O17-C17)</f>
        <v>-15962.760000000009</v>
      </c>
      <c r="D19" s="222" t="s">
        <v>1175</v>
      </c>
      <c r="E19" s="222"/>
      <c r="F19" s="222"/>
      <c r="G19" s="222"/>
      <c r="H19" s="222"/>
      <c r="I19" s="222"/>
      <c r="J19" s="222"/>
      <c r="K19" s="222"/>
      <c r="L19" s="222"/>
      <c r="M19" s="222"/>
      <c r="N19" s="222"/>
      <c r="O19" s="222"/>
    </row>
    <row r="20" spans="1:15">
      <c r="A20" s="222"/>
      <c r="B20" s="222" t="s">
        <v>866</v>
      </c>
      <c r="C20" s="486">
        <v>445175.49</v>
      </c>
      <c r="D20" s="222" t="s">
        <v>1176</v>
      </c>
      <c r="E20" s="222"/>
      <c r="F20" s="222"/>
      <c r="G20" s="222"/>
      <c r="H20" s="222"/>
      <c r="I20" s="222"/>
      <c r="J20" s="222"/>
      <c r="K20" s="769"/>
      <c r="L20" s="222"/>
      <c r="M20" s="222"/>
      <c r="N20" s="222"/>
      <c r="O20" s="222"/>
    </row>
    <row r="21" spans="1:15">
      <c r="A21" s="222"/>
      <c r="B21" s="222"/>
      <c r="C21" s="222"/>
      <c r="D21" s="222"/>
      <c r="E21" s="222"/>
      <c r="F21" s="222"/>
      <c r="G21" s="222"/>
      <c r="H21" s="222"/>
      <c r="I21" s="222"/>
      <c r="J21" s="222"/>
      <c r="K21" s="222"/>
      <c r="L21" s="222"/>
      <c r="M21" s="222"/>
      <c r="N21" s="222"/>
      <c r="O21" s="222"/>
    </row>
  </sheetData>
  <pageMargins left="0.7" right="0.7" top="0.75" bottom="0.75" header="0.3" footer="0.3"/>
  <pageSetup scale="6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45"/>
  <sheetViews>
    <sheetView view="pageBreakPreview" zoomScale="81" zoomScaleNormal="85" zoomScaleSheetLayoutView="81" workbookViewId="0"/>
  </sheetViews>
  <sheetFormatPr defaultColWidth="8.88671875" defaultRowHeight="14.25"/>
  <cols>
    <col min="1" max="1" width="6.109375" style="256" customWidth="1"/>
    <col min="2" max="2" width="72.109375" style="256" customWidth="1"/>
    <col min="3" max="3" width="13.6640625" style="255" customWidth="1"/>
    <col min="4" max="4" width="2.88671875" style="255" customWidth="1"/>
    <col min="5" max="5" width="36.88671875" style="256" customWidth="1"/>
    <col min="6" max="9" width="11.88671875" style="255" customWidth="1"/>
    <col min="10" max="16384" width="8.88671875" style="255"/>
  </cols>
  <sheetData>
    <row r="1" spans="1:6" ht="15">
      <c r="A1" s="259" t="str">
        <f>'Exhibit 1a'!A1</f>
        <v>VERSANT POWER – MAINE PUBLIC DISTRICT OATT</v>
      </c>
      <c r="B1" s="117"/>
      <c r="D1" s="1"/>
      <c r="E1" s="94" t="s">
        <v>48</v>
      </c>
    </row>
    <row r="2" spans="1:6" ht="15">
      <c r="A2" s="259" t="str">
        <f>'Exhibit 1a'!A2</f>
        <v>ATTACHMENT J FORMULA RATES</v>
      </c>
      <c r="B2" s="117"/>
      <c r="C2" s="1"/>
      <c r="D2" s="1"/>
      <c r="E2" s="93" t="s">
        <v>85</v>
      </c>
    </row>
    <row r="3" spans="1:6" ht="15">
      <c r="A3" s="259" t="str">
        <f>'Exhibit 1a'!A3</f>
        <v>RATE YEAR JUNE 1, 2020 TO MAY 31, 2021</v>
      </c>
      <c r="B3" s="117"/>
      <c r="C3" s="15"/>
      <c r="D3" s="92"/>
      <c r="E3" s="253"/>
    </row>
    <row r="4" spans="1:6" s="256" customFormat="1" ht="15">
      <c r="A4" s="259" t="str">
        <f>'Exhibit 1a'!A4</f>
        <v>Actual ATRR &amp; CHARGES BASED ON ACTUAL CY 2020 VALUES</v>
      </c>
      <c r="B4" s="117"/>
      <c r="C4" s="37"/>
      <c r="D4" s="37"/>
      <c r="E4" s="253"/>
    </row>
    <row r="5" spans="1:6" ht="15">
      <c r="A5" s="275"/>
      <c r="B5" s="34"/>
      <c r="C5" s="54"/>
      <c r="D5" s="142"/>
      <c r="E5" s="27"/>
    </row>
    <row r="6" spans="1:6" ht="15">
      <c r="A6" s="34" t="s">
        <v>84</v>
      </c>
      <c r="B6" s="566"/>
      <c r="C6" s="565" t="s">
        <v>66</v>
      </c>
      <c r="D6" s="91"/>
      <c r="E6" s="566"/>
    </row>
    <row r="7" spans="1:6" ht="15">
      <c r="A7" s="54"/>
      <c r="B7" s="566"/>
      <c r="C7" s="565"/>
      <c r="D7" s="91"/>
      <c r="E7" s="566"/>
    </row>
    <row r="8" spans="1:6" s="88" customFormat="1" ht="15">
      <c r="A8" s="567" t="s">
        <v>14</v>
      </c>
      <c r="B8" s="90" t="s">
        <v>31</v>
      </c>
      <c r="C8" s="52" t="s">
        <v>12</v>
      </c>
      <c r="D8" s="89"/>
      <c r="E8" s="254" t="s">
        <v>25</v>
      </c>
    </row>
    <row r="9" spans="1:6" s="54" customFormat="1" ht="15">
      <c r="A9" s="28"/>
      <c r="B9" s="87"/>
      <c r="C9" s="33"/>
      <c r="D9" s="33"/>
      <c r="E9" s="251"/>
    </row>
    <row r="10" spans="1:6" ht="15">
      <c r="A10" s="253">
        <v>1</v>
      </c>
      <c r="B10" s="34" t="s">
        <v>83</v>
      </c>
    </row>
    <row r="11" spans="1:6">
      <c r="A11" s="253">
        <v>2</v>
      </c>
      <c r="B11" s="86" t="s">
        <v>82</v>
      </c>
    </row>
    <row r="12" spans="1:6">
      <c r="A12" s="253">
        <v>3</v>
      </c>
      <c r="B12" s="84" t="s">
        <v>5</v>
      </c>
      <c r="C12" s="803">
        <f>'Exhibit 4'!W11</f>
        <v>78225706.827076927</v>
      </c>
      <c r="D12" s="1"/>
      <c r="E12" s="252" t="s">
        <v>395</v>
      </c>
      <c r="F12" s="557"/>
    </row>
    <row r="13" spans="1:6">
      <c r="A13" s="253">
        <v>4</v>
      </c>
      <c r="B13" s="84" t="s">
        <v>4</v>
      </c>
      <c r="C13" s="803">
        <f>'Exhibit 4'!W13</f>
        <v>3769635.3576131635</v>
      </c>
      <c r="D13" s="1"/>
      <c r="E13" s="252" t="s">
        <v>396</v>
      </c>
      <c r="F13" s="557"/>
    </row>
    <row r="14" spans="1:6">
      <c r="A14" s="253">
        <v>5</v>
      </c>
      <c r="B14" s="84" t="s">
        <v>6</v>
      </c>
      <c r="C14" s="803">
        <f>'Exhibit 4'!W15</f>
        <v>196002.56234131387</v>
      </c>
      <c r="D14" s="1"/>
      <c r="E14" s="252" t="s">
        <v>397</v>
      </c>
      <c r="F14" s="557"/>
    </row>
    <row r="15" spans="1:6">
      <c r="A15" s="253">
        <v>6</v>
      </c>
      <c r="B15" s="84" t="s">
        <v>528</v>
      </c>
      <c r="C15" s="803">
        <f>'Exhibit 4'!W20</f>
        <v>0</v>
      </c>
      <c r="D15" s="1"/>
      <c r="E15" s="252" t="s">
        <v>398</v>
      </c>
      <c r="F15" s="557"/>
    </row>
    <row r="16" spans="1:6">
      <c r="A16" s="253">
        <v>7</v>
      </c>
      <c r="B16" s="388" t="s">
        <v>325</v>
      </c>
      <c r="C16" s="804">
        <f>SUM(C12:C15)</f>
        <v>82191344.747031406</v>
      </c>
      <c r="D16" s="81"/>
      <c r="E16" s="252" t="s">
        <v>394</v>
      </c>
      <c r="F16" s="557"/>
    </row>
    <row r="17" spans="1:6">
      <c r="A17" s="253">
        <v>8</v>
      </c>
      <c r="B17" s="84"/>
      <c r="C17" s="330"/>
      <c r="D17" s="1"/>
      <c r="E17" s="252"/>
      <c r="F17" s="557"/>
    </row>
    <row r="18" spans="1:6">
      <c r="A18" s="253">
        <v>9</v>
      </c>
      <c r="B18" s="85" t="s">
        <v>81</v>
      </c>
      <c r="C18" s="330"/>
      <c r="D18" s="330"/>
      <c r="E18" s="252"/>
      <c r="F18" s="557"/>
    </row>
    <row r="19" spans="1:6">
      <c r="A19" s="253">
        <v>10</v>
      </c>
      <c r="B19" s="84" t="s">
        <v>5</v>
      </c>
      <c r="C19" s="803">
        <f>'Exhibit 4'!W23</f>
        <v>-16100631.062357834</v>
      </c>
      <c r="D19" s="330"/>
      <c r="E19" s="252" t="s">
        <v>399</v>
      </c>
      <c r="F19" s="557"/>
    </row>
    <row r="20" spans="1:6">
      <c r="A20" s="253">
        <v>11</v>
      </c>
      <c r="B20" s="84" t="s">
        <v>258</v>
      </c>
      <c r="C20" s="803">
        <f>'Exhibit 4'!W24</f>
        <v>-1136612.8625073773</v>
      </c>
      <c r="D20" s="330"/>
      <c r="E20" s="252" t="s">
        <v>648</v>
      </c>
      <c r="F20" s="557"/>
    </row>
    <row r="21" spans="1:6">
      <c r="A21" s="253">
        <v>12</v>
      </c>
      <c r="B21" s="84" t="s">
        <v>676</v>
      </c>
      <c r="C21" s="803">
        <f>'Exhibit 4'!W25</f>
        <v>-141771.82792021599</v>
      </c>
      <c r="D21" s="330"/>
      <c r="E21" s="252" t="s">
        <v>677</v>
      </c>
      <c r="F21" s="557"/>
    </row>
    <row r="22" spans="1:6">
      <c r="A22" s="253">
        <v>13</v>
      </c>
      <c r="B22" s="388" t="s">
        <v>324</v>
      </c>
      <c r="C22" s="804">
        <f>SUM(C19:C21)</f>
        <v>-17379015.752785429</v>
      </c>
      <c r="D22" s="304"/>
      <c r="E22" s="252" t="s">
        <v>678</v>
      </c>
      <c r="F22" s="557"/>
    </row>
    <row r="23" spans="1:6">
      <c r="A23" s="253">
        <v>14</v>
      </c>
      <c r="B23" s="84"/>
      <c r="C23" s="330"/>
      <c r="D23" s="330"/>
      <c r="E23" s="252"/>
      <c r="F23" s="557"/>
    </row>
    <row r="24" spans="1:6">
      <c r="A24" s="253">
        <v>15</v>
      </c>
      <c r="B24" s="84" t="s">
        <v>645</v>
      </c>
      <c r="C24" s="803">
        <f>'Exhibit 4'!W31</f>
        <v>-6518586.9085809831</v>
      </c>
      <c r="D24" s="330"/>
      <c r="E24" s="252" t="s">
        <v>679</v>
      </c>
      <c r="F24" s="557"/>
    </row>
    <row r="25" spans="1:6">
      <c r="A25" s="253">
        <v>16</v>
      </c>
      <c r="B25" s="84" t="s">
        <v>138</v>
      </c>
      <c r="C25" s="803">
        <f>'Exhibit 4'!W17</f>
        <v>-11347.632610499672</v>
      </c>
      <c r="D25" s="330"/>
      <c r="E25" s="252" t="s">
        <v>400</v>
      </c>
      <c r="F25" s="557"/>
    </row>
    <row r="26" spans="1:6">
      <c r="A26" s="253">
        <v>17</v>
      </c>
      <c r="B26" s="14" t="s">
        <v>646</v>
      </c>
      <c r="C26" s="803">
        <f>'Exhibit 4'!W38</f>
        <v>-3054918.8541228632</v>
      </c>
      <c r="D26" s="330"/>
      <c r="E26" s="252" t="s">
        <v>680</v>
      </c>
      <c r="F26" s="557"/>
    </row>
    <row r="27" spans="1:6">
      <c r="A27" s="253">
        <v>18</v>
      </c>
      <c r="B27" s="84" t="s">
        <v>80</v>
      </c>
      <c r="C27" s="803">
        <f>'Exhibit 4'!W50</f>
        <v>186452.06007871323</v>
      </c>
      <c r="D27" s="330"/>
      <c r="E27" s="252" t="s">
        <v>681</v>
      </c>
      <c r="F27" s="557"/>
    </row>
    <row r="28" spans="1:6">
      <c r="A28" s="253">
        <v>19</v>
      </c>
      <c r="B28" s="84" t="s">
        <v>529</v>
      </c>
      <c r="C28" s="803">
        <f>'Exhibit 4'!W45</f>
        <v>349098.26638814266</v>
      </c>
      <c r="D28" s="1"/>
      <c r="E28" s="252" t="s">
        <v>682</v>
      </c>
      <c r="F28" s="557"/>
    </row>
    <row r="29" spans="1:6">
      <c r="A29" s="253">
        <v>20</v>
      </c>
      <c r="B29" s="84" t="s">
        <v>10</v>
      </c>
      <c r="C29" s="803">
        <f>'Exhibit 4'!W40</f>
        <v>63745.094334579626</v>
      </c>
      <c r="D29" s="1"/>
      <c r="E29" s="252" t="s">
        <v>683</v>
      </c>
      <c r="F29" s="557"/>
    </row>
    <row r="30" spans="1:6">
      <c r="A30" s="253">
        <v>21</v>
      </c>
      <c r="B30" s="388" t="s">
        <v>323</v>
      </c>
      <c r="C30" s="804">
        <f>+C16+C22+C24+C25+C26+C27+C28+C29</f>
        <v>55826771.019733064</v>
      </c>
      <c r="D30" s="81"/>
      <c r="E30" s="252" t="s">
        <v>684</v>
      </c>
      <c r="F30" s="557"/>
    </row>
    <row r="31" spans="1:6">
      <c r="A31" s="253">
        <v>22</v>
      </c>
      <c r="B31" s="258" t="s">
        <v>647</v>
      </c>
      <c r="C31" s="805">
        <f>ROUND('Exhibit 3'!J13,4)</f>
        <v>8.8400000000000006E-2</v>
      </c>
      <c r="D31" s="82"/>
      <c r="E31" s="252" t="s">
        <v>79</v>
      </c>
      <c r="F31" s="557"/>
    </row>
    <row r="32" spans="1:6">
      <c r="A32" s="253">
        <v>23</v>
      </c>
      <c r="B32" s="258"/>
      <c r="C32" s="555"/>
      <c r="D32" s="82"/>
      <c r="E32" s="252"/>
      <c r="F32" s="557"/>
    </row>
    <row r="33" spans="1:6">
      <c r="A33" s="253">
        <v>24</v>
      </c>
      <c r="B33" s="258" t="s">
        <v>78</v>
      </c>
      <c r="C33" s="806">
        <f>C30*C31</f>
        <v>4935086.5581444036</v>
      </c>
      <c r="D33" s="81"/>
      <c r="E33" s="252" t="s">
        <v>685</v>
      </c>
      <c r="F33" s="557"/>
    </row>
    <row r="34" spans="1:6">
      <c r="A34" s="253">
        <v>25</v>
      </c>
      <c r="B34" s="258" t="s">
        <v>530</v>
      </c>
      <c r="C34" s="803">
        <f>+'Exhibit 5'!J15</f>
        <v>1779738.2666145542</v>
      </c>
      <c r="D34" s="1"/>
      <c r="E34" s="252" t="s">
        <v>309</v>
      </c>
      <c r="F34" s="557"/>
    </row>
    <row r="35" spans="1:6">
      <c r="A35" s="253">
        <v>26.1</v>
      </c>
      <c r="B35" s="258" t="s">
        <v>745</v>
      </c>
      <c r="C35" s="803">
        <f>'Exhibit 5'!J20</f>
        <v>-207529.27918881833</v>
      </c>
      <c r="D35" s="1"/>
      <c r="E35" s="252" t="s">
        <v>863</v>
      </c>
      <c r="F35" s="557"/>
    </row>
    <row r="36" spans="1:6">
      <c r="A36" s="253">
        <v>26.2</v>
      </c>
      <c r="B36" s="258" t="s">
        <v>77</v>
      </c>
      <c r="C36" s="803">
        <f>+'Exhibit 5'!J22</f>
        <v>0</v>
      </c>
      <c r="D36" s="1"/>
      <c r="E36" s="252" t="s">
        <v>310</v>
      </c>
      <c r="F36" s="557"/>
    </row>
    <row r="37" spans="1:6">
      <c r="A37" s="253">
        <v>27</v>
      </c>
      <c r="B37" s="258" t="s">
        <v>76</v>
      </c>
      <c r="C37" s="803">
        <f>+'Exhibit 5'!J24</f>
        <v>961574.47488322726</v>
      </c>
      <c r="D37" s="1"/>
      <c r="E37" s="252" t="s">
        <v>311</v>
      </c>
      <c r="F37" s="557"/>
    </row>
    <row r="38" spans="1:6">
      <c r="A38" s="253">
        <v>28</v>
      </c>
      <c r="B38" s="258" t="s">
        <v>75</v>
      </c>
      <c r="C38" s="803">
        <f>+'Exhibit 5'!J26</f>
        <v>96294.460763417548</v>
      </c>
      <c r="D38" s="1"/>
      <c r="E38" s="252" t="s">
        <v>312</v>
      </c>
      <c r="F38" s="557"/>
    </row>
    <row r="39" spans="1:6">
      <c r="A39" s="253">
        <v>29</v>
      </c>
      <c r="B39" s="258" t="s">
        <v>74</v>
      </c>
      <c r="C39" s="803">
        <f>+'Exhibit 5'!J31</f>
        <v>934516.11483663891</v>
      </c>
      <c r="D39" s="1"/>
      <c r="E39" s="252" t="s">
        <v>313</v>
      </c>
      <c r="F39" s="557"/>
    </row>
    <row r="40" spans="1:6">
      <c r="A40" s="253">
        <v>30</v>
      </c>
      <c r="B40" s="258" t="s">
        <v>73</v>
      </c>
      <c r="C40" s="803">
        <f>+'Exhibit 5'!J44</f>
        <v>557100.3657930668</v>
      </c>
      <c r="D40" s="1"/>
      <c r="E40" s="252" t="s">
        <v>329</v>
      </c>
      <c r="F40" s="557"/>
    </row>
    <row r="41" spans="1:6">
      <c r="A41" s="253">
        <v>31</v>
      </c>
      <c r="B41" s="258" t="s">
        <v>653</v>
      </c>
      <c r="C41" s="807">
        <f>-'Exhibit 7'!D30</f>
        <v>-452589</v>
      </c>
      <c r="D41" s="348"/>
      <c r="E41" s="252" t="s">
        <v>631</v>
      </c>
      <c r="F41" s="557"/>
    </row>
    <row r="42" spans="1:6">
      <c r="A42" s="253">
        <v>32</v>
      </c>
      <c r="B42" s="258" t="s">
        <v>588</v>
      </c>
      <c r="C42" s="807">
        <f>'WP W''Sale Adjustments'!F22+'WP W''Sale Adjustments'!G22</f>
        <v>91597</v>
      </c>
      <c r="D42" s="1"/>
      <c r="E42" s="258" t="s">
        <v>590</v>
      </c>
      <c r="F42" s="557"/>
    </row>
    <row r="43" spans="1:6" ht="15.75" thickBot="1">
      <c r="A43" s="253">
        <v>33</v>
      </c>
      <c r="B43" s="262" t="s">
        <v>1169</v>
      </c>
      <c r="C43" s="808">
        <f>SUM(C33:C42)</f>
        <v>8695788.9618464895</v>
      </c>
      <c r="D43" s="79"/>
      <c r="E43" s="252" t="s">
        <v>686</v>
      </c>
      <c r="F43" s="557"/>
    </row>
    <row r="44" spans="1:6" ht="15" thickTop="1"/>
    <row r="45" spans="1:6">
      <c r="C45" s="256"/>
    </row>
  </sheetData>
  <pageMargins left="0.5" right="0.5" top="0.5" bottom="0.5" header="0" footer="0"/>
  <pageSetup paperSize="5"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topLeftCell="A4" zoomScale="81" zoomScaleNormal="85" zoomScaleSheetLayoutView="81" workbookViewId="0"/>
  </sheetViews>
  <sheetFormatPr defaultColWidth="8.88671875" defaultRowHeight="14.25"/>
  <cols>
    <col min="1" max="1" width="4.21875" style="256" customWidth="1"/>
    <col min="2" max="2" width="2.44140625" style="256" customWidth="1"/>
    <col min="3" max="3" width="2.5546875" style="256" customWidth="1"/>
    <col min="4" max="4" width="2.6640625" style="256" customWidth="1"/>
    <col min="5" max="5" width="2.109375" style="256" customWidth="1"/>
    <col min="6" max="6" width="55.6640625" style="256" customWidth="1"/>
    <col min="7" max="8" width="13.77734375" style="255" customWidth="1"/>
    <col min="9" max="9" width="13.77734375" style="256" customWidth="1"/>
    <col min="10" max="10" width="13.77734375" style="255" customWidth="1"/>
    <col min="11" max="11" width="2.44140625" style="255" customWidth="1"/>
    <col min="12" max="12" width="36.109375" style="256" bestFit="1" customWidth="1"/>
    <col min="13" max="16384" width="8.88671875" style="255"/>
  </cols>
  <sheetData>
    <row r="1" spans="1:12" ht="15">
      <c r="A1" s="259" t="str">
        <f>'Exhibit 1a'!A1</f>
        <v>VERSANT POWER – MAINE PUBLIC DISTRICT OATT</v>
      </c>
      <c r="B1" s="117"/>
      <c r="D1" s="330"/>
      <c r="E1" s="94"/>
      <c r="G1" s="100"/>
      <c r="H1" s="100"/>
      <c r="I1" s="100"/>
      <c r="J1" s="101"/>
      <c r="K1" s="108"/>
      <c r="L1" s="94" t="s">
        <v>48</v>
      </c>
    </row>
    <row r="2" spans="1:12" ht="15">
      <c r="A2" s="259" t="str">
        <f>'Exhibit 1a'!A2</f>
        <v>ATTACHMENT J FORMULA RATES</v>
      </c>
      <c r="B2" s="117"/>
      <c r="C2" s="330"/>
      <c r="D2" s="330"/>
      <c r="E2" s="93"/>
      <c r="G2" s="100"/>
      <c r="H2" s="100"/>
      <c r="I2" s="100"/>
      <c r="J2" s="101"/>
      <c r="K2" s="108"/>
      <c r="L2" s="93" t="s">
        <v>125</v>
      </c>
    </row>
    <row r="3" spans="1:12" ht="15">
      <c r="A3" s="259" t="str">
        <f>'Exhibit 1a'!A3</f>
        <v>RATE YEAR JUNE 1, 2020 TO MAY 31, 2021</v>
      </c>
      <c r="B3" s="117"/>
      <c r="C3" s="330"/>
      <c r="D3" s="330"/>
      <c r="E3" s="253"/>
      <c r="G3" s="100"/>
      <c r="H3" s="100"/>
      <c r="I3" s="100"/>
      <c r="J3" s="101"/>
      <c r="K3" s="114"/>
      <c r="L3" s="253"/>
    </row>
    <row r="4" spans="1:12" s="256" customFormat="1" ht="15">
      <c r="A4" s="259" t="str">
        <f>'Exhibit 1a'!A4</f>
        <v>Actual ATRR &amp; CHARGES BASED ON ACTUAL CY 2020 VALUES</v>
      </c>
      <c r="B4" s="15"/>
      <c r="C4" s="15"/>
      <c r="D4" s="15"/>
      <c r="E4" s="15"/>
      <c r="F4" s="15"/>
      <c r="G4" s="97"/>
      <c r="H4" s="97"/>
      <c r="I4" s="97"/>
      <c r="J4" s="96"/>
      <c r="K4" s="114"/>
      <c r="L4" s="253"/>
    </row>
    <row r="5" spans="1:12" ht="15">
      <c r="A5" s="276"/>
      <c r="B5" s="252"/>
      <c r="C5" s="252"/>
      <c r="D5" s="252"/>
      <c r="E5" s="252"/>
      <c r="F5" s="252"/>
      <c r="G5" s="97"/>
      <c r="H5" s="97"/>
      <c r="I5" s="97"/>
      <c r="J5" s="101"/>
      <c r="K5" s="114"/>
      <c r="L5" s="253"/>
    </row>
    <row r="6" spans="1:12" ht="15">
      <c r="A6" s="54" t="s">
        <v>124</v>
      </c>
      <c r="G6" s="91" t="s">
        <v>66</v>
      </c>
      <c r="H6" s="91" t="s">
        <v>43</v>
      </c>
      <c r="I6" s="91" t="s">
        <v>65</v>
      </c>
      <c r="J6" s="353" t="s">
        <v>64</v>
      </c>
      <c r="K6" s="91"/>
      <c r="L6" s="253"/>
    </row>
    <row r="7" spans="1:12" ht="14.25" customHeight="1">
      <c r="A7" s="15"/>
      <c r="G7" s="368"/>
      <c r="H7" s="368"/>
      <c r="I7" s="97"/>
      <c r="J7" s="101"/>
      <c r="K7" s="108"/>
      <c r="L7" s="253"/>
    </row>
    <row r="8" spans="1:12" ht="30">
      <c r="A8" s="567" t="s">
        <v>14</v>
      </c>
      <c r="B8" s="217" t="s">
        <v>13</v>
      </c>
      <c r="C8" s="217"/>
      <c r="D8" s="217"/>
      <c r="E8" s="217"/>
      <c r="F8" s="217"/>
      <c r="G8" s="357" t="s">
        <v>340</v>
      </c>
      <c r="H8" s="357" t="s">
        <v>531</v>
      </c>
      <c r="I8" s="358" t="s">
        <v>341</v>
      </c>
      <c r="J8" s="111"/>
      <c r="K8" s="111"/>
      <c r="L8" s="254" t="s">
        <v>25</v>
      </c>
    </row>
    <row r="9" spans="1:12">
      <c r="A9" s="15"/>
      <c r="H9" s="100"/>
      <c r="I9" s="101"/>
      <c r="J9" s="101"/>
      <c r="L9" s="253"/>
    </row>
    <row r="10" spans="1:12">
      <c r="A10" s="77">
        <v>1</v>
      </c>
      <c r="B10" s="256" t="s">
        <v>123</v>
      </c>
      <c r="G10" s="100"/>
      <c r="H10" s="100"/>
      <c r="I10" s="100"/>
      <c r="J10" s="809">
        <f>J30+J38+J51</f>
        <v>6.9751887016724384E-2</v>
      </c>
      <c r="K10" s="108"/>
      <c r="L10" s="252" t="s">
        <v>401</v>
      </c>
    </row>
    <row r="11" spans="1:12">
      <c r="A11" s="77">
        <v>2</v>
      </c>
      <c r="B11" s="256" t="s">
        <v>97</v>
      </c>
      <c r="G11" s="100"/>
      <c r="H11" s="100"/>
      <c r="I11" s="100"/>
      <c r="J11" s="809">
        <f>J61</f>
        <v>1.2680764499952261E-2</v>
      </c>
      <c r="K11" s="303"/>
      <c r="L11" s="252" t="s">
        <v>402</v>
      </c>
    </row>
    <row r="12" spans="1:12">
      <c r="A12" s="77">
        <v>3</v>
      </c>
      <c r="B12" s="256" t="s">
        <v>88</v>
      </c>
      <c r="G12" s="100"/>
      <c r="H12" s="100"/>
      <c r="I12" s="100"/>
      <c r="J12" s="809">
        <f>J72</f>
        <v>5.921098212498691E-3</v>
      </c>
      <c r="K12" s="303"/>
      <c r="L12" s="252" t="s">
        <v>403</v>
      </c>
    </row>
    <row r="13" spans="1:12" ht="15.75" thickBot="1">
      <c r="A13" s="77">
        <v>4</v>
      </c>
      <c r="B13" s="376" t="s">
        <v>409</v>
      </c>
      <c r="C13" s="376"/>
      <c r="D13" s="376"/>
      <c r="E13" s="376"/>
      <c r="F13" s="376"/>
      <c r="G13" s="810"/>
      <c r="H13" s="810"/>
      <c r="I13" s="810"/>
      <c r="J13" s="811">
        <f>SUM(J10:J12)</f>
        <v>8.8353749729175327E-2</v>
      </c>
      <c r="K13" s="303"/>
      <c r="L13" s="252" t="s">
        <v>404</v>
      </c>
    </row>
    <row r="14" spans="1:12" ht="15" thickTop="1">
      <c r="A14" s="77">
        <v>5</v>
      </c>
      <c r="G14" s="100"/>
      <c r="H14" s="100"/>
      <c r="I14" s="100"/>
      <c r="J14" s="101"/>
      <c r="K14" s="303"/>
      <c r="L14" s="252"/>
    </row>
    <row r="15" spans="1:12">
      <c r="A15" s="77">
        <v>6</v>
      </c>
      <c r="B15" s="506" t="s">
        <v>111</v>
      </c>
      <c r="C15" s="57"/>
      <c r="D15" s="57"/>
      <c r="E15" s="57"/>
      <c r="F15" s="57"/>
      <c r="G15" s="104"/>
      <c r="H15" s="104"/>
      <c r="I15" s="354"/>
      <c r="J15" s="109"/>
      <c r="K15" s="303"/>
      <c r="L15" s="252"/>
    </row>
    <row r="16" spans="1:12">
      <c r="A16" s="77">
        <v>7</v>
      </c>
      <c r="C16" s="256" t="s">
        <v>122</v>
      </c>
      <c r="G16" s="902">
        <v>398538033</v>
      </c>
      <c r="H16" s="902">
        <v>442000000</v>
      </c>
      <c r="I16" s="273">
        <f>AVERAGE(G16:H16)</f>
        <v>420269016.5</v>
      </c>
      <c r="J16" s="96"/>
      <c r="K16" s="303"/>
      <c r="L16" s="252" t="s">
        <v>597</v>
      </c>
    </row>
    <row r="17" spans="1:12">
      <c r="A17" s="77">
        <v>8</v>
      </c>
      <c r="C17" s="256" t="s">
        <v>121</v>
      </c>
      <c r="G17" s="902">
        <v>0</v>
      </c>
      <c r="H17" s="902">
        <v>0</v>
      </c>
      <c r="I17" s="108"/>
      <c r="J17" s="96"/>
      <c r="K17" s="303"/>
      <c r="L17" s="252" t="s">
        <v>532</v>
      </c>
    </row>
    <row r="18" spans="1:12">
      <c r="A18" s="77">
        <v>9</v>
      </c>
      <c r="C18" s="256" t="s">
        <v>543</v>
      </c>
      <c r="G18" s="902">
        <v>-17277</v>
      </c>
      <c r="H18" s="902">
        <v>-3465</v>
      </c>
      <c r="I18" s="108"/>
      <c r="J18" s="96"/>
      <c r="K18" s="303"/>
      <c r="L18" s="252" t="s">
        <v>533</v>
      </c>
    </row>
    <row r="19" spans="1:12">
      <c r="A19" s="77">
        <v>10</v>
      </c>
      <c r="C19" s="256" t="s">
        <v>544</v>
      </c>
      <c r="G19" s="902">
        <v>-1418001.74</v>
      </c>
      <c r="H19" s="902">
        <v>-1711069.95</v>
      </c>
      <c r="I19" s="108"/>
      <c r="J19" s="96"/>
      <c r="K19" s="303"/>
      <c r="L19" s="252" t="s">
        <v>534</v>
      </c>
    </row>
    <row r="20" spans="1:12">
      <c r="A20" s="77">
        <v>11</v>
      </c>
      <c r="D20" s="256" t="s">
        <v>120</v>
      </c>
      <c r="G20" s="812">
        <f>SUM(G16:G19)</f>
        <v>397102754.25999999</v>
      </c>
      <c r="H20" s="812">
        <f>SUM(H16:H19)</f>
        <v>440285465.05000001</v>
      </c>
      <c r="I20" s="812">
        <f>AVERAGE(H20,G20)</f>
        <v>418694109.65499997</v>
      </c>
      <c r="J20" s="96"/>
      <c r="K20" s="303"/>
      <c r="L20" s="252" t="s">
        <v>405</v>
      </c>
    </row>
    <row r="21" spans="1:12">
      <c r="A21" s="77">
        <v>12</v>
      </c>
      <c r="G21" s="108"/>
      <c r="H21" s="108"/>
      <c r="I21" s="108"/>
      <c r="J21" s="96"/>
      <c r="K21" s="303"/>
      <c r="L21" s="252"/>
    </row>
    <row r="22" spans="1:12">
      <c r="A22" s="77">
        <v>13</v>
      </c>
      <c r="C22" s="256" t="s">
        <v>119</v>
      </c>
      <c r="G22" s="108"/>
      <c r="H22" s="902">
        <f>17834705.15+0.35</f>
        <v>17834705.5</v>
      </c>
      <c r="I22" s="108"/>
      <c r="J22" s="96"/>
      <c r="K22" s="303"/>
      <c r="L22" s="252" t="s">
        <v>118</v>
      </c>
    </row>
    <row r="23" spans="1:12">
      <c r="A23" s="77">
        <v>14</v>
      </c>
      <c r="C23" s="256" t="s">
        <v>117</v>
      </c>
      <c r="G23" s="108"/>
      <c r="H23" s="902">
        <v>851436.99000000011</v>
      </c>
      <c r="I23" s="108"/>
      <c r="J23" s="96"/>
      <c r="K23" s="303"/>
      <c r="L23" s="252" t="s">
        <v>116</v>
      </c>
    </row>
    <row r="24" spans="1:12">
      <c r="A24" s="77">
        <v>15</v>
      </c>
      <c r="C24" s="256" t="s">
        <v>545</v>
      </c>
      <c r="G24" s="108"/>
      <c r="H24" s="902">
        <v>-240293.61000000002</v>
      </c>
      <c r="I24" s="108"/>
      <c r="J24" s="96"/>
      <c r="K24" s="303"/>
      <c r="L24" s="252" t="s">
        <v>115</v>
      </c>
    </row>
    <row r="25" spans="1:12">
      <c r="A25" s="77">
        <v>16</v>
      </c>
      <c r="D25" s="256" t="s">
        <v>114</v>
      </c>
      <c r="G25" s="108"/>
      <c r="H25" s="812">
        <f>SUM(H22:H24)</f>
        <v>18445848.879999999</v>
      </c>
      <c r="I25" s="108"/>
      <c r="J25" s="96"/>
      <c r="K25" s="303"/>
      <c r="L25" s="252" t="s">
        <v>406</v>
      </c>
    </row>
    <row r="26" spans="1:12">
      <c r="A26" s="77">
        <v>17</v>
      </c>
      <c r="G26" s="108"/>
      <c r="H26" s="108"/>
      <c r="I26" s="108"/>
      <c r="J26" s="96"/>
      <c r="K26" s="303"/>
      <c r="L26" s="252"/>
    </row>
    <row r="27" spans="1:12">
      <c r="A27" s="77">
        <v>18</v>
      </c>
      <c r="C27" s="256" t="s">
        <v>105</v>
      </c>
      <c r="G27" s="97"/>
      <c r="H27" s="97"/>
      <c r="I27" s="792">
        <f>+I16+I33+I46</f>
        <v>832063377.05500007</v>
      </c>
      <c r="J27" s="96"/>
      <c r="K27" s="303"/>
      <c r="L27" s="252" t="s">
        <v>407</v>
      </c>
    </row>
    <row r="28" spans="1:12">
      <c r="A28" s="77">
        <v>19</v>
      </c>
      <c r="C28" s="256" t="s">
        <v>113</v>
      </c>
      <c r="G28" s="97"/>
      <c r="H28" s="97"/>
      <c r="I28" s="97"/>
      <c r="J28" s="809">
        <f>I16/I27</f>
        <v>0.50509255435264744</v>
      </c>
      <c r="K28" s="303"/>
      <c r="L28" s="252" t="s">
        <v>342</v>
      </c>
    </row>
    <row r="29" spans="1:12">
      <c r="A29" s="77">
        <v>20</v>
      </c>
      <c r="C29" s="256" t="s">
        <v>112</v>
      </c>
      <c r="G29" s="97"/>
      <c r="H29" s="97"/>
      <c r="I29" s="97"/>
      <c r="J29" s="809">
        <f>H25/I20</f>
        <v>4.4055668457335606E-2</v>
      </c>
      <c r="K29" s="303"/>
      <c r="L29" s="252" t="s">
        <v>343</v>
      </c>
    </row>
    <row r="30" spans="1:12">
      <c r="A30" s="77">
        <v>21</v>
      </c>
      <c r="B30" s="402" t="s">
        <v>111</v>
      </c>
      <c r="C30" s="402"/>
      <c r="D30" s="402"/>
      <c r="E30" s="402"/>
      <c r="F30" s="402"/>
      <c r="G30" s="102"/>
      <c r="H30" s="102"/>
      <c r="I30" s="102"/>
      <c r="J30" s="813">
        <f>J29*J28</f>
        <v>2.2252190114828999E-2</v>
      </c>
      <c r="K30" s="303"/>
      <c r="L30" s="252" t="s">
        <v>535</v>
      </c>
    </row>
    <row r="31" spans="1:12">
      <c r="A31" s="77">
        <v>22</v>
      </c>
      <c r="G31" s="97"/>
      <c r="H31" s="97"/>
      <c r="I31" s="97"/>
      <c r="J31" s="96"/>
      <c r="K31" s="303"/>
      <c r="L31" s="252"/>
    </row>
    <row r="32" spans="1:12">
      <c r="A32" s="77">
        <v>23</v>
      </c>
      <c r="B32" s="135" t="s">
        <v>107</v>
      </c>
      <c r="G32" s="97"/>
      <c r="H32" s="97"/>
      <c r="I32" s="97"/>
      <c r="J32" s="96"/>
      <c r="K32" s="303"/>
      <c r="L32" s="252"/>
    </row>
    <row r="33" spans="1:12">
      <c r="A33" s="77">
        <v>24</v>
      </c>
      <c r="C33" s="256" t="s">
        <v>110</v>
      </c>
      <c r="G33" s="902">
        <v>365400</v>
      </c>
      <c r="H33" s="902">
        <v>365400</v>
      </c>
      <c r="I33" s="273">
        <f>AVERAGE(G33:H33)</f>
        <v>365400</v>
      </c>
      <c r="J33" s="96"/>
      <c r="K33" s="303"/>
      <c r="L33" s="252" t="s">
        <v>538</v>
      </c>
    </row>
    <row r="34" spans="1:12">
      <c r="A34" s="77">
        <v>25</v>
      </c>
      <c r="C34" s="256" t="s">
        <v>723</v>
      </c>
      <c r="G34" s="108"/>
      <c r="H34" s="902">
        <v>25578</v>
      </c>
      <c r="I34" s="108"/>
      <c r="J34" s="96"/>
      <c r="K34" s="303"/>
      <c r="L34" s="252" t="s">
        <v>537</v>
      </c>
    </row>
    <row r="35" spans="1:12">
      <c r="A35" s="77">
        <v>26</v>
      </c>
      <c r="C35" s="256" t="s">
        <v>105</v>
      </c>
      <c r="G35" s="97"/>
      <c r="H35" s="97"/>
      <c r="I35" s="792">
        <f>+I27</f>
        <v>832063377.05500007</v>
      </c>
      <c r="J35" s="96"/>
      <c r="K35" s="303"/>
      <c r="L35" s="252" t="s">
        <v>407</v>
      </c>
    </row>
    <row r="36" spans="1:12">
      <c r="A36" s="77">
        <v>27</v>
      </c>
      <c r="C36" s="256" t="s">
        <v>109</v>
      </c>
      <c r="G36" s="97"/>
      <c r="H36" s="97"/>
      <c r="I36" s="97"/>
      <c r="J36" s="809">
        <f>I33/I35</f>
        <v>4.3914924040196852E-4</v>
      </c>
      <c r="K36" s="303"/>
      <c r="L36" s="252" t="s">
        <v>344</v>
      </c>
    </row>
    <row r="37" spans="1:12">
      <c r="A37" s="77">
        <v>28</v>
      </c>
      <c r="C37" s="256" t="s">
        <v>108</v>
      </c>
      <c r="G37" s="97"/>
      <c r="H37" s="97"/>
      <c r="I37" s="97"/>
      <c r="J37" s="814">
        <f>H34/I33</f>
        <v>7.0000000000000007E-2</v>
      </c>
      <c r="K37" s="303"/>
      <c r="L37" s="252" t="s">
        <v>345</v>
      </c>
    </row>
    <row r="38" spans="1:12">
      <c r="A38" s="77">
        <v>29</v>
      </c>
      <c r="B38" s="402" t="s">
        <v>107</v>
      </c>
      <c r="C38" s="402"/>
      <c r="D38" s="402"/>
      <c r="E38" s="402"/>
      <c r="F38" s="402"/>
      <c r="G38" s="102"/>
      <c r="H38" s="102"/>
      <c r="I38" s="102"/>
      <c r="J38" s="813">
        <f>J37*J36</f>
        <v>3.0740446828137798E-5</v>
      </c>
      <c r="K38" s="303"/>
      <c r="L38" s="252" t="s">
        <v>536</v>
      </c>
    </row>
    <row r="39" spans="1:12">
      <c r="A39" s="77">
        <v>30</v>
      </c>
      <c r="C39" s="57"/>
      <c r="D39" s="57"/>
      <c r="E39" s="57"/>
      <c r="F39" s="57"/>
      <c r="G39" s="104"/>
      <c r="H39" s="104"/>
      <c r="I39" s="104"/>
      <c r="J39" s="106"/>
      <c r="K39" s="303"/>
      <c r="L39" s="252"/>
    </row>
    <row r="40" spans="1:12">
      <c r="A40" s="77">
        <v>31</v>
      </c>
      <c r="B40" s="135" t="s">
        <v>101</v>
      </c>
      <c r="G40" s="97"/>
      <c r="H40" s="97"/>
      <c r="I40" s="97"/>
      <c r="J40" s="96"/>
      <c r="K40" s="303"/>
      <c r="L40" s="252"/>
    </row>
    <row r="41" spans="1:12">
      <c r="A41" s="77">
        <v>32</v>
      </c>
      <c r="C41" s="256" t="s">
        <v>598</v>
      </c>
      <c r="G41" s="902">
        <f>531922442.94-1.45</f>
        <v>531922441.49000001</v>
      </c>
      <c r="H41" s="902">
        <v>536182146.01999998</v>
      </c>
      <c r="I41" s="97"/>
      <c r="J41" s="96"/>
      <c r="K41" s="303"/>
      <c r="L41" s="252" t="s">
        <v>539</v>
      </c>
    </row>
    <row r="42" spans="1:12">
      <c r="A42" s="77">
        <v>33</v>
      </c>
      <c r="C42" s="256" t="s">
        <v>550</v>
      </c>
      <c r="G42" s="902">
        <v>-113805224</v>
      </c>
      <c r="H42" s="902">
        <v>-113805224</v>
      </c>
      <c r="I42" s="97"/>
      <c r="J42" s="96"/>
      <c r="K42" s="105"/>
      <c r="L42" s="258" t="s">
        <v>549</v>
      </c>
    </row>
    <row r="43" spans="1:12">
      <c r="A43" s="77">
        <v>34</v>
      </c>
      <c r="C43" s="256" t="s">
        <v>546</v>
      </c>
      <c r="G43" s="902">
        <v>-7064722.9000000004</v>
      </c>
      <c r="H43" s="902">
        <f>-9840695.44-0.06</f>
        <v>-9840695.5</v>
      </c>
      <c r="I43" s="97"/>
      <c r="J43" s="96"/>
      <c r="K43" s="303"/>
      <c r="L43" s="252" t="s">
        <v>540</v>
      </c>
    </row>
    <row r="44" spans="1:12">
      <c r="A44" s="77">
        <v>35</v>
      </c>
      <c r="C44" s="256" t="s">
        <v>547</v>
      </c>
      <c r="G44" s="902">
        <v>-365400</v>
      </c>
      <c r="H44" s="902">
        <v>-365400</v>
      </c>
      <c r="I44" s="97"/>
      <c r="J44" s="96"/>
      <c r="K44" s="303"/>
      <c r="L44" s="252" t="s">
        <v>541</v>
      </c>
    </row>
    <row r="45" spans="1:12">
      <c r="A45" s="77">
        <v>36</v>
      </c>
      <c r="C45" s="256" t="s">
        <v>605</v>
      </c>
      <c r="G45" s="902">
        <v>0</v>
      </c>
      <c r="H45" s="902">
        <v>0</v>
      </c>
      <c r="I45" s="97"/>
      <c r="J45" s="96"/>
      <c r="K45" s="303"/>
      <c r="L45" s="252" t="s">
        <v>542</v>
      </c>
    </row>
    <row r="46" spans="1:12">
      <c r="A46" s="77">
        <v>37</v>
      </c>
      <c r="C46" s="256" t="s">
        <v>106</v>
      </c>
      <c r="G46" s="815">
        <f>SUM(G41:G45)</f>
        <v>410687094.59000003</v>
      </c>
      <c r="H46" s="815">
        <f>SUM(H41:H45)</f>
        <v>412170826.51999998</v>
      </c>
      <c r="I46" s="812">
        <f>AVERAGE(G46,H46)</f>
        <v>411428960.55500001</v>
      </c>
      <c r="J46" s="96"/>
      <c r="K46" s="303"/>
      <c r="L46" s="252" t="s">
        <v>408</v>
      </c>
    </row>
    <row r="47" spans="1:12">
      <c r="A47" s="77">
        <v>38</v>
      </c>
      <c r="G47" s="104"/>
      <c r="H47" s="104"/>
      <c r="I47" s="303"/>
      <c r="J47" s="96"/>
      <c r="K47" s="103"/>
      <c r="L47" s="252"/>
    </row>
    <row r="48" spans="1:12">
      <c r="A48" s="77">
        <v>39</v>
      </c>
      <c r="C48" s="256" t="s">
        <v>105</v>
      </c>
      <c r="G48" s="97"/>
      <c r="H48" s="97"/>
      <c r="I48" s="792">
        <f>+I27</f>
        <v>832063377.05500007</v>
      </c>
      <c r="J48" s="96"/>
      <c r="K48" s="330"/>
      <c r="L48" s="252" t="s">
        <v>407</v>
      </c>
    </row>
    <row r="49" spans="1:21">
      <c r="A49" s="77">
        <v>40</v>
      </c>
      <c r="C49" s="256" t="s">
        <v>104</v>
      </c>
      <c r="G49" s="97"/>
      <c r="H49" s="97"/>
      <c r="I49" s="97"/>
      <c r="J49" s="809">
        <f>I46/I48</f>
        <v>0.4944682964069505</v>
      </c>
      <c r="K49" s="256"/>
      <c r="L49" s="252" t="s">
        <v>346</v>
      </c>
    </row>
    <row r="50" spans="1:21">
      <c r="A50" s="77">
        <v>41</v>
      </c>
      <c r="C50" s="256" t="s">
        <v>103</v>
      </c>
      <c r="G50" s="97"/>
      <c r="H50" s="97"/>
      <c r="I50" s="97"/>
      <c r="J50" s="96">
        <v>9.6000000000000002E-2</v>
      </c>
      <c r="K50" s="256"/>
      <c r="L50" s="252" t="s">
        <v>102</v>
      </c>
    </row>
    <row r="51" spans="1:21">
      <c r="A51" s="77">
        <v>42</v>
      </c>
      <c r="B51" s="402" t="s">
        <v>101</v>
      </c>
      <c r="C51" s="402"/>
      <c r="D51" s="402"/>
      <c r="E51" s="402"/>
      <c r="F51" s="402"/>
      <c r="G51" s="102"/>
      <c r="H51" s="102"/>
      <c r="I51" s="102"/>
      <c r="J51" s="813">
        <f>J50*J49</f>
        <v>4.7468956455067247E-2</v>
      </c>
      <c r="K51" s="256"/>
      <c r="L51" s="252" t="s">
        <v>347</v>
      </c>
    </row>
    <row r="52" spans="1:21">
      <c r="A52" s="77">
        <v>43</v>
      </c>
      <c r="G52" s="97"/>
      <c r="H52" s="97"/>
      <c r="I52" s="97"/>
      <c r="J52" s="96"/>
      <c r="K52" s="256"/>
      <c r="L52" s="252"/>
    </row>
    <row r="53" spans="1:21">
      <c r="A53" s="77">
        <v>44</v>
      </c>
      <c r="B53" s="135" t="s">
        <v>97</v>
      </c>
      <c r="G53" s="100"/>
      <c r="H53" s="100"/>
      <c r="I53" s="100"/>
      <c r="J53" s="101"/>
      <c r="K53" s="256"/>
      <c r="L53" s="252"/>
      <c r="M53" s="256"/>
      <c r="N53" s="256"/>
      <c r="O53" s="256"/>
      <c r="P53" s="256"/>
      <c r="Q53" s="256"/>
      <c r="R53" s="256"/>
      <c r="S53" s="256"/>
      <c r="T53" s="256"/>
      <c r="U53" s="256"/>
    </row>
    <row r="54" spans="1:21">
      <c r="A54" s="77">
        <v>45</v>
      </c>
      <c r="F54" s="507" t="s">
        <v>100</v>
      </c>
      <c r="G54" s="100"/>
      <c r="H54" s="100"/>
      <c r="I54" s="100"/>
      <c r="J54" s="101"/>
      <c r="K54" s="256"/>
      <c r="L54" s="252"/>
      <c r="M54" s="256"/>
      <c r="N54" s="256"/>
      <c r="O54" s="256"/>
      <c r="P54" s="256"/>
      <c r="Q54" s="256"/>
      <c r="R54" s="256"/>
      <c r="S54" s="256"/>
      <c r="T54" s="256"/>
      <c r="U54" s="256"/>
    </row>
    <row r="55" spans="1:21">
      <c r="A55" s="77">
        <v>46</v>
      </c>
      <c r="C55" s="256" t="s">
        <v>94</v>
      </c>
      <c r="F55" s="253" t="s">
        <v>99</v>
      </c>
      <c r="G55" s="100"/>
      <c r="H55" s="100"/>
      <c r="I55" s="100"/>
      <c r="J55" s="101"/>
      <c r="K55" s="256"/>
      <c r="L55" s="252"/>
      <c r="M55" s="256"/>
      <c r="N55" s="256"/>
      <c r="O55" s="256"/>
      <c r="P55" s="256"/>
      <c r="Q55" s="256"/>
      <c r="R55" s="256"/>
      <c r="S55" s="256"/>
      <c r="T55" s="256"/>
      <c r="U55" s="256"/>
    </row>
    <row r="56" spans="1:21">
      <c r="A56" s="77">
        <v>47</v>
      </c>
      <c r="D56" s="256" t="s">
        <v>98</v>
      </c>
      <c r="G56" s="100"/>
      <c r="H56" s="100"/>
      <c r="I56" s="100"/>
      <c r="J56" s="809">
        <v>0.21</v>
      </c>
      <c r="K56" s="256"/>
      <c r="L56" s="252" t="s">
        <v>90</v>
      </c>
      <c r="M56" s="256"/>
      <c r="N56" s="256"/>
      <c r="O56" s="256"/>
      <c r="P56" s="256"/>
      <c r="Q56" s="256"/>
      <c r="R56" s="256"/>
      <c r="S56" s="256"/>
      <c r="T56" s="256"/>
      <c r="U56" s="256"/>
    </row>
    <row r="57" spans="1:21">
      <c r="A57" s="77">
        <v>48</v>
      </c>
      <c r="D57" s="256" t="s">
        <v>91</v>
      </c>
      <c r="G57" s="100"/>
      <c r="H57" s="100"/>
      <c r="I57" s="100"/>
      <c r="J57" s="809">
        <f>J38+J51</f>
        <v>4.7499696901895386E-2</v>
      </c>
      <c r="K57" s="256"/>
      <c r="L57" s="252" t="s">
        <v>348</v>
      </c>
      <c r="M57" s="455"/>
      <c r="N57" s="256"/>
      <c r="O57" s="256"/>
      <c r="P57" s="256"/>
      <c r="Q57" s="256"/>
      <c r="R57" s="256"/>
      <c r="S57" s="256"/>
      <c r="T57" s="256"/>
      <c r="U57" s="256"/>
    </row>
    <row r="58" spans="1:21">
      <c r="A58" s="77">
        <v>49</v>
      </c>
      <c r="D58" s="256" t="s">
        <v>301</v>
      </c>
      <c r="G58" s="100"/>
      <c r="H58" s="903">
        <v>0</v>
      </c>
      <c r="I58" s="100"/>
      <c r="J58" s="101"/>
      <c r="K58" s="256"/>
      <c r="L58" s="252" t="s">
        <v>90</v>
      </c>
      <c r="M58" s="455"/>
      <c r="N58" s="256"/>
      <c r="O58" s="256"/>
      <c r="P58" s="256"/>
      <c r="Q58" s="256"/>
      <c r="R58" s="256"/>
      <c r="S58" s="256"/>
      <c r="T58" s="256"/>
      <c r="U58" s="256"/>
    </row>
    <row r="59" spans="1:21">
      <c r="A59" s="77">
        <v>50</v>
      </c>
      <c r="D59" s="256" t="s">
        <v>302</v>
      </c>
      <c r="G59" s="100"/>
      <c r="H59" s="903">
        <v>11396</v>
      </c>
      <c r="I59" s="100"/>
      <c r="J59" s="101"/>
      <c r="K59" s="256"/>
      <c r="L59" s="252" t="s">
        <v>90</v>
      </c>
      <c r="M59" s="256"/>
      <c r="N59" s="256"/>
      <c r="O59" s="256"/>
      <c r="P59" s="256"/>
      <c r="Q59" s="256"/>
      <c r="R59" s="256"/>
      <c r="S59" s="256"/>
      <c r="T59" s="256"/>
      <c r="U59" s="256"/>
    </row>
    <row r="60" spans="1:21">
      <c r="A60" s="77">
        <v>51</v>
      </c>
      <c r="D60" s="256" t="s">
        <v>303</v>
      </c>
      <c r="G60" s="100"/>
      <c r="H60" s="793">
        <f>'Exhibit 4'!$W$52</f>
        <v>55826771.019733064</v>
      </c>
      <c r="I60" s="100"/>
      <c r="J60" s="101"/>
      <c r="K60" s="256"/>
      <c r="L60" s="252" t="s">
        <v>736</v>
      </c>
      <c r="M60" s="97"/>
      <c r="N60" s="256"/>
      <c r="O60" s="256"/>
      <c r="P60" s="256"/>
      <c r="Q60" s="256"/>
      <c r="R60" s="256"/>
      <c r="S60" s="256"/>
      <c r="T60" s="256"/>
      <c r="U60" s="256"/>
    </row>
    <row r="61" spans="1:21">
      <c r="A61" s="77">
        <v>52</v>
      </c>
      <c r="B61" s="402" t="s">
        <v>97</v>
      </c>
      <c r="C61" s="402"/>
      <c r="D61" s="402"/>
      <c r="E61" s="402"/>
      <c r="F61" s="402"/>
      <c r="G61" s="98"/>
      <c r="H61" s="98"/>
      <c r="I61" s="98"/>
      <c r="J61" s="813">
        <f>((J57+((H58+H59)/H60))*J56)/(1-J56)</f>
        <v>1.2680764499952261E-2</v>
      </c>
      <c r="K61" s="256"/>
      <c r="L61" s="252" t="s">
        <v>96</v>
      </c>
      <c r="M61" s="455"/>
      <c r="N61" s="256"/>
      <c r="O61" s="256"/>
      <c r="P61" s="256"/>
      <c r="Q61" s="256"/>
      <c r="R61" s="256"/>
      <c r="S61" s="256"/>
      <c r="T61" s="256"/>
      <c r="U61" s="256"/>
    </row>
    <row r="62" spans="1:21">
      <c r="A62" s="77">
        <v>53</v>
      </c>
      <c r="B62" s="135"/>
      <c r="G62" s="100"/>
      <c r="H62" s="100"/>
      <c r="I62" s="100"/>
      <c r="J62" s="101"/>
      <c r="K62" s="256"/>
      <c r="L62" s="252"/>
      <c r="M62" s="455"/>
      <c r="N62" s="256"/>
      <c r="O62" s="256"/>
      <c r="P62" s="256"/>
      <c r="Q62" s="256"/>
      <c r="R62" s="256"/>
      <c r="S62" s="256"/>
      <c r="T62" s="256"/>
      <c r="U62" s="256"/>
    </row>
    <row r="63" spans="1:21">
      <c r="A63" s="77">
        <v>54</v>
      </c>
      <c r="B63" s="135" t="s">
        <v>88</v>
      </c>
      <c r="G63" s="100"/>
      <c r="H63" s="100"/>
      <c r="I63" s="100"/>
      <c r="J63" s="101"/>
      <c r="K63" s="256"/>
      <c r="L63" s="252"/>
      <c r="M63" s="455"/>
      <c r="N63" s="256"/>
      <c r="O63" s="256"/>
      <c r="P63" s="256"/>
      <c r="Q63" s="256"/>
      <c r="R63" s="256"/>
      <c r="S63" s="256"/>
      <c r="T63" s="256"/>
      <c r="U63" s="256"/>
    </row>
    <row r="64" spans="1:21">
      <c r="A64" s="77">
        <v>55</v>
      </c>
      <c r="F64" s="507" t="s">
        <v>95</v>
      </c>
      <c r="G64" s="100"/>
      <c r="H64" s="100"/>
      <c r="I64" s="100"/>
      <c r="J64" s="101"/>
      <c r="K64" s="256"/>
      <c r="L64" s="252"/>
      <c r="M64" s="455"/>
      <c r="N64" s="256"/>
      <c r="O64" s="256"/>
      <c r="P64" s="256"/>
      <c r="Q64" s="256"/>
      <c r="R64" s="256"/>
      <c r="S64" s="256"/>
      <c r="T64" s="256"/>
      <c r="U64" s="256"/>
    </row>
    <row r="65" spans="1:21">
      <c r="A65" s="77">
        <v>56</v>
      </c>
      <c r="C65" s="256" t="s">
        <v>94</v>
      </c>
      <c r="F65" s="253" t="s">
        <v>93</v>
      </c>
      <c r="G65" s="100"/>
      <c r="H65" s="100"/>
      <c r="I65" s="100"/>
      <c r="J65" s="101"/>
      <c r="K65" s="256"/>
      <c r="L65" s="252"/>
      <c r="M65" s="455"/>
      <c r="N65" s="256"/>
      <c r="O65" s="256"/>
      <c r="P65" s="256"/>
      <c r="Q65" s="256"/>
      <c r="R65" s="256"/>
      <c r="S65" s="256"/>
      <c r="T65" s="256"/>
      <c r="U65" s="256"/>
    </row>
    <row r="66" spans="1:21">
      <c r="A66" s="77">
        <v>57</v>
      </c>
      <c r="D66" s="256" t="s">
        <v>92</v>
      </c>
      <c r="G66" s="100"/>
      <c r="H66" s="100"/>
      <c r="I66" s="100"/>
      <c r="J66" s="809">
        <v>8.9300000000000004E-2</v>
      </c>
      <c r="K66" s="256"/>
      <c r="L66" s="252" t="s">
        <v>90</v>
      </c>
      <c r="M66" s="455"/>
      <c r="N66" s="256"/>
      <c r="O66" s="256"/>
      <c r="P66" s="256"/>
      <c r="Q66" s="256"/>
      <c r="R66" s="256"/>
      <c r="S66" s="256"/>
      <c r="T66" s="256"/>
      <c r="U66" s="256"/>
    </row>
    <row r="67" spans="1:21">
      <c r="A67" s="77">
        <v>58</v>
      </c>
      <c r="D67" s="256" t="s">
        <v>91</v>
      </c>
      <c r="G67" s="100"/>
      <c r="H67" s="100"/>
      <c r="I67" s="100"/>
      <c r="J67" s="809">
        <f>J38+J51</f>
        <v>4.7499696901895386E-2</v>
      </c>
      <c r="K67" s="256"/>
      <c r="L67" s="252" t="s">
        <v>348</v>
      </c>
      <c r="M67" s="455"/>
      <c r="N67" s="256"/>
      <c r="O67" s="256"/>
      <c r="P67" s="256"/>
      <c r="Q67" s="256"/>
      <c r="R67" s="256"/>
      <c r="S67" s="256"/>
      <c r="T67" s="256"/>
      <c r="U67" s="256"/>
    </row>
    <row r="68" spans="1:21">
      <c r="A68" s="77">
        <v>59</v>
      </c>
      <c r="D68" s="256" t="s">
        <v>301</v>
      </c>
      <c r="G68" s="100"/>
      <c r="H68" s="903">
        <v>0</v>
      </c>
      <c r="I68" s="100"/>
      <c r="J68" s="101"/>
      <c r="K68" s="256"/>
      <c r="L68" s="252" t="s">
        <v>90</v>
      </c>
      <c r="M68" s="455"/>
      <c r="N68" s="256"/>
      <c r="O68" s="256"/>
      <c r="P68" s="256"/>
      <c r="Q68" s="256"/>
      <c r="R68" s="256"/>
      <c r="S68" s="256"/>
      <c r="T68" s="256"/>
      <c r="U68" s="256"/>
    </row>
    <row r="69" spans="1:21">
      <c r="A69" s="77">
        <v>60</v>
      </c>
      <c r="D69" s="256" t="s">
        <v>302</v>
      </c>
      <c r="G69" s="100"/>
      <c r="H69" s="903">
        <v>11396</v>
      </c>
      <c r="I69" s="100"/>
      <c r="J69" s="101"/>
      <c r="K69" s="256"/>
      <c r="L69" s="252" t="s">
        <v>90</v>
      </c>
      <c r="M69" s="97"/>
      <c r="N69" s="256"/>
      <c r="O69" s="256"/>
      <c r="P69" s="256"/>
      <c r="Q69" s="256"/>
      <c r="R69" s="256"/>
      <c r="S69" s="256"/>
      <c r="T69" s="256"/>
      <c r="U69" s="256"/>
    </row>
    <row r="70" spans="1:21">
      <c r="A70" s="77">
        <v>61</v>
      </c>
      <c r="D70" s="256" t="s">
        <v>303</v>
      </c>
      <c r="G70" s="100"/>
      <c r="H70" s="816">
        <f>'Exhibit 4'!$W$52</f>
        <v>55826771.019733064</v>
      </c>
      <c r="I70" s="100"/>
      <c r="J70" s="101"/>
      <c r="K70" s="256"/>
      <c r="L70" s="252" t="s">
        <v>736</v>
      </c>
      <c r="M70" s="256"/>
      <c r="N70" s="256"/>
      <c r="O70" s="256"/>
      <c r="P70" s="256"/>
      <c r="Q70" s="256"/>
      <c r="R70" s="256"/>
      <c r="S70" s="256"/>
      <c r="T70" s="256"/>
      <c r="U70" s="256"/>
    </row>
    <row r="71" spans="1:21">
      <c r="A71" s="77">
        <v>62</v>
      </c>
      <c r="D71" s="256" t="s">
        <v>89</v>
      </c>
      <c r="G71" s="100"/>
      <c r="H71" s="100"/>
      <c r="I71" s="100"/>
      <c r="J71" s="809">
        <f>J61</f>
        <v>1.2680764499952261E-2</v>
      </c>
      <c r="K71" s="256"/>
      <c r="L71" s="252" t="s">
        <v>402</v>
      </c>
      <c r="M71" s="256"/>
      <c r="N71" s="256"/>
      <c r="O71" s="256"/>
      <c r="P71" s="256"/>
      <c r="Q71" s="256"/>
      <c r="R71" s="256"/>
      <c r="S71" s="256"/>
      <c r="T71" s="256"/>
      <c r="U71" s="256"/>
    </row>
    <row r="72" spans="1:21">
      <c r="A72" s="77">
        <v>63</v>
      </c>
      <c r="B72" s="402" t="s">
        <v>88</v>
      </c>
      <c r="C72" s="402"/>
      <c r="D72" s="402"/>
      <c r="E72" s="402"/>
      <c r="F72" s="402"/>
      <c r="G72" s="98"/>
      <c r="H72" s="98"/>
      <c r="I72" s="98"/>
      <c r="J72" s="813">
        <f>(((J67+((H68+H69)/H70))+J71)*J66)/(1-J66)</f>
        <v>5.921098212498691E-3</v>
      </c>
      <c r="K72" s="256"/>
      <c r="L72" s="252" t="s">
        <v>87</v>
      </c>
    </row>
    <row r="73" spans="1:21">
      <c r="A73" s="15"/>
      <c r="G73" s="256"/>
      <c r="H73" s="97"/>
      <c r="I73" s="96"/>
      <c r="J73" s="96"/>
      <c r="K73" s="256"/>
      <c r="L73" s="252"/>
    </row>
    <row r="74" spans="1:21">
      <c r="A74" s="9" t="s">
        <v>11</v>
      </c>
      <c r="B74" s="257"/>
      <c r="C74" s="257"/>
      <c r="D74" s="257"/>
      <c r="E74" s="257"/>
      <c r="F74" s="257"/>
      <c r="G74" s="257"/>
      <c r="H74" s="257"/>
      <c r="I74" s="257"/>
      <c r="J74" s="257"/>
      <c r="K74" s="257"/>
      <c r="L74" s="257"/>
    </row>
    <row r="75" spans="1:21">
      <c r="A75" s="5">
        <v>1</v>
      </c>
      <c r="B75" s="256" t="s">
        <v>86</v>
      </c>
      <c r="G75" s="256"/>
      <c r="H75" s="256"/>
      <c r="J75" s="256"/>
      <c r="K75" s="256"/>
    </row>
    <row r="76" spans="1:21">
      <c r="A76" s="253">
        <v>2</v>
      </c>
      <c r="B76" s="256" t="s">
        <v>548</v>
      </c>
      <c r="G76" s="256"/>
      <c r="H76" s="256"/>
      <c r="J76" s="256"/>
      <c r="K76" s="256"/>
    </row>
    <row r="77" spans="1:21">
      <c r="A77" s="253">
        <v>3</v>
      </c>
      <c r="B77" s="256" t="s">
        <v>722</v>
      </c>
      <c r="G77" s="256"/>
      <c r="H77" s="256"/>
      <c r="J77" s="256"/>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61"/>
  <sheetViews>
    <sheetView view="pageBreakPreview" zoomScale="81" zoomScaleNormal="85" zoomScaleSheetLayoutView="81" workbookViewId="0">
      <pane xSplit="3" ySplit="10" topLeftCell="D11" activePane="bottomRight" state="frozen"/>
      <selection pane="topRight"/>
      <selection pane="bottomLeft"/>
      <selection pane="bottomRight"/>
    </sheetView>
  </sheetViews>
  <sheetFormatPr defaultColWidth="8.88671875" defaultRowHeight="14.25"/>
  <cols>
    <col min="1" max="1" width="5.77734375" style="256" customWidth="1"/>
    <col min="2" max="2" width="3.33203125" style="256" customWidth="1"/>
    <col min="3" max="3" width="49.109375" style="256" customWidth="1"/>
    <col min="4" max="4" width="13.21875" style="255" bestFit="1" customWidth="1"/>
    <col min="5" max="16" width="12" style="255" customWidth="1"/>
    <col min="17" max="17" width="12.33203125" style="255" customWidth="1"/>
    <col min="18" max="18" width="11.77734375" style="255" customWidth="1"/>
    <col min="19" max="19" width="11.33203125" style="351" customWidth="1"/>
    <col min="20" max="20" width="12.33203125" style="255" customWidth="1"/>
    <col min="21" max="21" width="15.109375" style="256" customWidth="1"/>
    <col min="22" max="22" width="13" style="351" customWidth="1"/>
    <col min="23" max="23" width="15.109375" style="255" customWidth="1"/>
    <col min="24" max="24" width="2.44140625" style="256" customWidth="1"/>
    <col min="25" max="25" width="34.33203125" style="256" customWidth="1"/>
    <col min="26" max="26" width="8.88671875" style="255"/>
    <col min="27" max="39" width="13.77734375" style="255" customWidth="1"/>
    <col min="40" max="16384" width="8.88671875" style="255"/>
  </cols>
  <sheetData>
    <row r="1" spans="1:39" ht="15">
      <c r="A1" s="259" t="str">
        <f>'Exhibit 1a'!A1</f>
        <v>VERSANT POWER – MAINE PUBLIC DISTRICT OATT</v>
      </c>
      <c r="B1" s="14"/>
      <c r="D1" s="21"/>
      <c r="E1" s="21"/>
      <c r="F1" s="21"/>
      <c r="G1" s="21"/>
      <c r="H1" s="21"/>
      <c r="I1" s="21"/>
      <c r="J1" s="21"/>
      <c r="K1" s="21"/>
      <c r="L1" s="21"/>
      <c r="M1" s="21"/>
      <c r="N1" s="21"/>
      <c r="O1" s="21"/>
      <c r="P1" s="21"/>
      <c r="Q1" s="132"/>
      <c r="R1" s="132"/>
      <c r="S1" s="340"/>
      <c r="T1" s="132"/>
      <c r="U1" s="15"/>
      <c r="V1" s="340"/>
      <c r="W1" s="132"/>
      <c r="X1" s="108"/>
      <c r="Y1" s="94" t="s">
        <v>48</v>
      </c>
    </row>
    <row r="2" spans="1:39" ht="15">
      <c r="A2" s="259" t="str">
        <f>'Exhibit 1a'!A2</f>
        <v>ATTACHMENT J FORMULA RATES</v>
      </c>
      <c r="B2" s="14"/>
      <c r="C2" s="14"/>
      <c r="D2" s="773"/>
      <c r="E2" s="773"/>
      <c r="F2" s="773"/>
      <c r="G2" s="773"/>
      <c r="H2" s="773"/>
      <c r="I2" s="773"/>
      <c r="J2" s="773"/>
      <c r="K2" s="773"/>
      <c r="L2" s="773"/>
      <c r="M2" s="773"/>
      <c r="N2" s="773"/>
      <c r="O2" s="773"/>
      <c r="P2" s="773"/>
      <c r="Q2" s="132"/>
      <c r="R2" s="132"/>
      <c r="S2" s="340"/>
      <c r="T2" s="132"/>
      <c r="U2" s="15"/>
      <c r="V2" s="340"/>
      <c r="W2" s="132"/>
      <c r="X2" s="108"/>
      <c r="Y2" s="93" t="s">
        <v>148</v>
      </c>
    </row>
    <row r="3" spans="1:39" ht="15">
      <c r="A3" s="259" t="str">
        <f>'Exhibit 1a'!A3</f>
        <v>RATE YEAR JUNE 1, 2020 TO MAY 31, 2021</v>
      </c>
      <c r="B3" s="15"/>
      <c r="C3" s="15"/>
      <c r="D3" s="774"/>
      <c r="E3" s="774"/>
      <c r="F3" s="774"/>
      <c r="G3" s="774"/>
      <c r="H3" s="774"/>
      <c r="I3" s="774"/>
      <c r="J3" s="774"/>
      <c r="K3" s="774"/>
      <c r="L3" s="774"/>
      <c r="M3" s="774"/>
      <c r="N3" s="774"/>
      <c r="O3" s="774"/>
      <c r="P3" s="774"/>
      <c r="Q3" s="131"/>
      <c r="R3" s="264"/>
      <c r="S3" s="341"/>
      <c r="T3" s="131"/>
      <c r="U3" s="15"/>
      <c r="V3" s="341"/>
      <c r="W3" s="131"/>
      <c r="X3" s="114"/>
      <c r="Y3" s="15"/>
    </row>
    <row r="4" spans="1:39" s="256" customFormat="1" ht="15">
      <c r="A4" s="259" t="str">
        <f>'Exhibit 1a'!A4</f>
        <v>Actual ATRR &amp; CHARGES BASED ON ACTUAL CY 2020 VALUES</v>
      </c>
      <c r="B4" s="15"/>
      <c r="C4" s="15"/>
      <c r="D4" s="775"/>
      <c r="E4" s="775"/>
      <c r="F4" s="775"/>
      <c r="G4" s="775"/>
      <c r="H4" s="775"/>
      <c r="I4" s="775"/>
      <c r="J4" s="775"/>
      <c r="K4" s="775"/>
      <c r="L4" s="775"/>
      <c r="M4" s="775"/>
      <c r="N4" s="775"/>
      <c r="O4" s="775"/>
      <c r="P4" s="775"/>
      <c r="Q4" s="114"/>
      <c r="R4" s="356"/>
      <c r="S4" s="343"/>
      <c r="T4" s="114"/>
      <c r="U4" s="15"/>
      <c r="V4" s="343"/>
      <c r="W4" s="114"/>
      <c r="X4" s="114"/>
      <c r="Y4" s="15"/>
    </row>
    <row r="5" spans="1:39" ht="15">
      <c r="A5" s="275"/>
      <c r="B5" s="15"/>
      <c r="C5" s="15"/>
      <c r="D5" s="21"/>
      <c r="E5" s="21"/>
      <c r="F5" s="21"/>
      <c r="G5" s="21"/>
      <c r="H5" s="21"/>
      <c r="I5" s="21"/>
      <c r="J5" s="21"/>
      <c r="K5" s="21"/>
      <c r="L5" s="21"/>
      <c r="M5" s="21"/>
      <c r="N5" s="21"/>
      <c r="O5" s="21"/>
      <c r="P5" s="21"/>
      <c r="Q5" s="559"/>
      <c r="R5" s="131"/>
      <c r="S5" s="341"/>
      <c r="T5" s="131"/>
      <c r="U5" s="15"/>
      <c r="V5" s="341"/>
      <c r="W5" s="131"/>
      <c r="X5" s="114"/>
      <c r="Y5" s="15"/>
    </row>
    <row r="6" spans="1:39" ht="15">
      <c r="A6" s="130" t="s">
        <v>147</v>
      </c>
      <c r="B6" s="14"/>
      <c r="C6" s="14"/>
      <c r="D6" s="424" t="s">
        <v>66</v>
      </c>
      <c r="E6" s="424" t="s">
        <v>43</v>
      </c>
      <c r="F6" s="424" t="s">
        <v>65</v>
      </c>
      <c r="G6" s="424" t="s">
        <v>64</v>
      </c>
      <c r="H6" s="424" t="s">
        <v>63</v>
      </c>
      <c r="I6" s="424" t="s">
        <v>62</v>
      </c>
      <c r="J6" s="424" t="s">
        <v>368</v>
      </c>
      <c r="K6" s="424" t="s">
        <v>369</v>
      </c>
      <c r="L6" s="424" t="s">
        <v>370</v>
      </c>
      <c r="M6" s="424" t="s">
        <v>371</v>
      </c>
      <c r="N6" s="424" t="s">
        <v>372</v>
      </c>
      <c r="O6" s="424" t="s">
        <v>373</v>
      </c>
      <c r="P6" s="91" t="s">
        <v>374</v>
      </c>
      <c r="Q6" s="91" t="s">
        <v>569</v>
      </c>
      <c r="R6" s="941" t="s">
        <v>375</v>
      </c>
      <c r="S6" s="941"/>
      <c r="T6" s="91" t="s">
        <v>376</v>
      </c>
      <c r="U6" s="941" t="s">
        <v>377</v>
      </c>
      <c r="V6" s="941"/>
      <c r="W6" s="91" t="s">
        <v>378</v>
      </c>
      <c r="X6" s="91"/>
      <c r="Y6" s="14"/>
    </row>
    <row r="7" spans="1:39">
      <c r="A7" s="76"/>
      <c r="B7" s="129"/>
      <c r="C7" s="129"/>
      <c r="D7" s="129"/>
      <c r="E7" s="129"/>
      <c r="F7" s="129"/>
      <c r="G7" s="129"/>
      <c r="H7" s="129"/>
      <c r="I7" s="129"/>
      <c r="J7" s="129"/>
      <c r="K7" s="129"/>
      <c r="L7" s="129"/>
      <c r="M7" s="129"/>
      <c r="N7" s="129"/>
      <c r="O7" s="129"/>
      <c r="P7" s="129"/>
      <c r="Q7" s="108"/>
      <c r="R7" s="108"/>
      <c r="S7" s="342"/>
      <c r="T7" s="108"/>
      <c r="U7" s="15"/>
      <c r="V7" s="343"/>
      <c r="W7" s="108"/>
      <c r="X7" s="108"/>
    </row>
    <row r="8" spans="1:39" ht="15">
      <c r="A8" s="54"/>
      <c r="B8" s="30"/>
      <c r="C8" s="30"/>
      <c r="D8" s="425" t="s">
        <v>350</v>
      </c>
      <c r="E8" s="425" t="s">
        <v>349</v>
      </c>
      <c r="F8" s="425" t="s">
        <v>351</v>
      </c>
      <c r="G8" s="425" t="s">
        <v>352</v>
      </c>
      <c r="H8" s="425" t="s">
        <v>353</v>
      </c>
      <c r="I8" s="425" t="s">
        <v>235</v>
      </c>
      <c r="J8" s="425" t="s">
        <v>354</v>
      </c>
      <c r="K8" s="425" t="s">
        <v>355</v>
      </c>
      <c r="L8" s="425" t="s">
        <v>356</v>
      </c>
      <c r="M8" s="425" t="s">
        <v>357</v>
      </c>
      <c r="N8" s="425" t="s">
        <v>358</v>
      </c>
      <c r="O8" s="425" t="s">
        <v>359</v>
      </c>
      <c r="P8" s="425" t="s">
        <v>350</v>
      </c>
      <c r="Q8" s="33" t="s">
        <v>141</v>
      </c>
      <c r="R8" s="942" t="s">
        <v>144</v>
      </c>
      <c r="S8" s="942"/>
      <c r="T8" s="127"/>
      <c r="U8" s="942" t="s">
        <v>143</v>
      </c>
      <c r="V8" s="942"/>
      <c r="W8" s="91" t="s">
        <v>128</v>
      </c>
      <c r="X8" s="127"/>
      <c r="Y8" s="27"/>
    </row>
    <row r="9" spans="1:39" ht="15">
      <c r="A9" s="567" t="s">
        <v>142</v>
      </c>
      <c r="B9" s="90"/>
      <c r="C9" s="90"/>
      <c r="D9" s="899">
        <v>2019</v>
      </c>
      <c r="E9" s="899">
        <v>2020</v>
      </c>
      <c r="F9" s="899">
        <v>2020</v>
      </c>
      <c r="G9" s="899">
        <v>2020</v>
      </c>
      <c r="H9" s="899">
        <v>2020</v>
      </c>
      <c r="I9" s="899">
        <v>2020</v>
      </c>
      <c r="J9" s="899">
        <v>2020</v>
      </c>
      <c r="K9" s="899">
        <v>2020</v>
      </c>
      <c r="L9" s="899">
        <v>2020</v>
      </c>
      <c r="M9" s="899">
        <v>2020</v>
      </c>
      <c r="N9" s="899">
        <v>2020</v>
      </c>
      <c r="O9" s="899">
        <v>2020</v>
      </c>
      <c r="P9" s="899">
        <v>2020</v>
      </c>
      <c r="Q9" s="89" t="s">
        <v>339</v>
      </c>
      <c r="R9" s="943" t="s">
        <v>140</v>
      </c>
      <c r="S9" s="943"/>
      <c r="T9" s="89" t="s">
        <v>128</v>
      </c>
      <c r="U9" s="943" t="s">
        <v>140</v>
      </c>
      <c r="V9" s="943"/>
      <c r="W9" s="89" t="s">
        <v>3</v>
      </c>
      <c r="X9" s="89"/>
      <c r="Y9" s="567" t="s">
        <v>25</v>
      </c>
    </row>
    <row r="10" spans="1:39" ht="15">
      <c r="A10" s="15"/>
      <c r="B10" s="126"/>
      <c r="C10" s="126"/>
      <c r="D10" s="344"/>
      <c r="E10" s="344"/>
      <c r="F10" s="344"/>
      <c r="G10" s="344"/>
      <c r="H10" s="344"/>
      <c r="I10" s="344"/>
      <c r="J10" s="344"/>
      <c r="K10" s="344"/>
      <c r="L10" s="344"/>
      <c r="M10" s="344"/>
      <c r="N10" s="344"/>
      <c r="O10" s="344"/>
      <c r="P10" s="344"/>
      <c r="Q10" s="108"/>
      <c r="R10" s="108"/>
      <c r="S10" s="342"/>
      <c r="T10" s="108"/>
      <c r="U10" s="15"/>
      <c r="V10" s="342"/>
      <c r="W10" s="108"/>
      <c r="X10" s="108"/>
      <c r="Y10" s="14"/>
      <c r="AA10" s="556"/>
      <c r="AB10" s="556"/>
      <c r="AC10" s="556"/>
      <c r="AD10" s="556"/>
      <c r="AE10" s="556"/>
      <c r="AF10" s="556"/>
      <c r="AG10" s="556"/>
      <c r="AH10" s="556"/>
      <c r="AI10" s="556"/>
      <c r="AJ10" s="556"/>
      <c r="AK10" s="556"/>
      <c r="AL10" s="556"/>
      <c r="AM10" s="556"/>
    </row>
    <row r="11" spans="1:39">
      <c r="A11" s="77">
        <v>1</v>
      </c>
      <c r="B11" s="126" t="s">
        <v>724</v>
      </c>
      <c r="C11" s="14"/>
      <c r="D11" s="904">
        <f>79911283.98-'WP Transaction Costs'!$C$15+'WP Line 6901 Adjustments'!$C$12</f>
        <v>77325424.624800012</v>
      </c>
      <c r="E11" s="904">
        <f>80073067.16-'WP Transaction Costs'!$C$15+'WP Line 6901 Adjustments'!$C$12</f>
        <v>77487207.804800004</v>
      </c>
      <c r="F11" s="904">
        <f>80418171.22-'WP Transaction Costs'!$C$15+'WP Line 6901 Adjustments'!$C$12</f>
        <v>77832311.864800006</v>
      </c>
      <c r="G11" s="904">
        <f>80422635.13-'WP Transaction Costs'!$C$15+'WP Line 6901 Adjustments'!$C$12</f>
        <v>77836775.774800003</v>
      </c>
      <c r="H11" s="904">
        <f>80431215.37-'WP Transaction Costs'!$C$15+'WP Line 6901 Adjustments'!$C$12</f>
        <v>77845356.014800012</v>
      </c>
      <c r="I11" s="904">
        <f>78020138.37-'WP Transaction Costs'!$C$15</f>
        <v>77845356.506000012</v>
      </c>
      <c r="J11" s="904">
        <f>78027052.75-'WP Transaction Costs'!$C$15</f>
        <v>77852270.886000007</v>
      </c>
      <c r="K11" s="904">
        <f>78027052.75-'WP Transaction Costs'!$C$15</f>
        <v>77852270.886000007</v>
      </c>
      <c r="L11" s="904">
        <f>78027052.75-'WP Transaction Costs'!$C$15</f>
        <v>77852270.886000007</v>
      </c>
      <c r="M11" s="904">
        <f>78059778.83-'WP Transaction Costs'!$C$15</f>
        <v>77884996.966000006</v>
      </c>
      <c r="N11" s="904">
        <f>78059778.83-'WP Transaction Costs'!$C$15</f>
        <v>77884996.966000006</v>
      </c>
      <c r="O11" s="904">
        <f>78087307.09-'WP Transaction Costs'!$C$15</f>
        <v>77912525.226000011</v>
      </c>
      <c r="P11" s="904">
        <f>83697206.21-'WP Transaction Costs'!$C$15</f>
        <v>83522424.346000001</v>
      </c>
      <c r="Q11" s="818">
        <f>AVERAGE(D11:P11)</f>
        <v>78225706.827076927</v>
      </c>
      <c r="R11" s="120" t="s">
        <v>128</v>
      </c>
      <c r="S11" s="345">
        <v>1</v>
      </c>
      <c r="T11" s="819">
        <f>Q11*S11</f>
        <v>78225706.827076927</v>
      </c>
      <c r="U11" s="120" t="s">
        <v>130</v>
      </c>
      <c r="V11" s="345">
        <v>1</v>
      </c>
      <c r="W11" s="819">
        <f>V11*T11</f>
        <v>78225706.827076927</v>
      </c>
      <c r="X11" s="303"/>
      <c r="Y11" s="258" t="s">
        <v>602</v>
      </c>
      <c r="AA11" s="557"/>
      <c r="AB11" s="556"/>
      <c r="AC11" s="556"/>
      <c r="AD11" s="556"/>
      <c r="AE11" s="556"/>
      <c r="AF11" s="556"/>
      <c r="AG11" s="556"/>
      <c r="AH11" s="556"/>
      <c r="AI11" s="556"/>
      <c r="AJ11" s="556"/>
      <c r="AK11" s="556"/>
      <c r="AL11" s="556"/>
      <c r="AM11" s="556"/>
    </row>
    <row r="12" spans="1:39">
      <c r="A12" s="77">
        <v>2</v>
      </c>
      <c r="B12" s="14"/>
      <c r="C12" s="14"/>
      <c r="D12" s="346"/>
      <c r="E12" s="346"/>
      <c r="F12" s="346"/>
      <c r="G12" s="346"/>
      <c r="H12" s="346"/>
      <c r="I12" s="346"/>
      <c r="J12" s="346"/>
      <c r="K12" s="346"/>
      <c r="L12" s="346"/>
      <c r="M12" s="346"/>
      <c r="N12" s="346"/>
      <c r="O12" s="346"/>
      <c r="P12" s="346"/>
      <c r="Q12" s="303"/>
      <c r="R12" s="303"/>
      <c r="S12" s="345"/>
      <c r="T12" s="303"/>
      <c r="U12" s="120"/>
      <c r="V12" s="345"/>
      <c r="W12" s="303"/>
      <c r="X12" s="303"/>
      <c r="Y12" s="258"/>
      <c r="AA12" s="557"/>
      <c r="AB12" s="556"/>
      <c r="AC12" s="556"/>
      <c r="AD12" s="556"/>
      <c r="AE12" s="556"/>
      <c r="AF12" s="556"/>
      <c r="AG12" s="556"/>
      <c r="AH12" s="556"/>
      <c r="AI12" s="556"/>
      <c r="AJ12" s="556"/>
      <c r="AK12" s="556"/>
      <c r="AL12" s="556"/>
      <c r="AM12" s="556"/>
    </row>
    <row r="13" spans="1:39">
      <c r="A13" s="77">
        <v>3</v>
      </c>
      <c r="B13" s="126" t="s">
        <v>139</v>
      </c>
      <c r="C13" s="14"/>
      <c r="D13" s="904">
        <f>27177651.27-'WP Transaction Costs'!$C$22</f>
        <v>27066047.099999998</v>
      </c>
      <c r="E13" s="904">
        <f>30097617.21-'WP Transaction Costs'!$C$22</f>
        <v>29986013.039999999</v>
      </c>
      <c r="F13" s="904">
        <f>30097617.21-'WP Transaction Costs'!$C$22</f>
        <v>29986013.039999999</v>
      </c>
      <c r="G13" s="904">
        <f>30097617.21-'WP Transaction Costs'!$C$22</f>
        <v>29986013.039999999</v>
      </c>
      <c r="H13" s="904">
        <f>30097617.21-'WP Transaction Costs'!$C$22</f>
        <v>29986013.039999999</v>
      </c>
      <c r="I13" s="904">
        <f>30045629.14-'WP Transaction Costs'!$C$22</f>
        <v>29934024.969999999</v>
      </c>
      <c r="J13" s="904">
        <f>30042431.83-'WP Transaction Costs'!$C$22</f>
        <v>29930827.659999996</v>
      </c>
      <c r="K13" s="904">
        <f>30042431.83-'WP Transaction Costs'!$C$22</f>
        <v>29930827.659999996</v>
      </c>
      <c r="L13" s="904">
        <f>30042632.49-'WP Transaction Costs'!$C$22</f>
        <v>29931028.319999997</v>
      </c>
      <c r="M13" s="904">
        <f>30566927.68-'WP Transaction Costs'!$C$22</f>
        <v>30455323.509999998</v>
      </c>
      <c r="N13" s="904">
        <f>30566927.68-'WP Transaction Costs'!$C$22</f>
        <v>30455323.509999998</v>
      </c>
      <c r="O13" s="904">
        <f>30600690.5-'WP Transaction Costs'!$C$22</f>
        <v>30489086.329999998</v>
      </c>
      <c r="P13" s="904">
        <f>31472962-'WP Transaction Costs'!$C$22</f>
        <v>31361357.829999998</v>
      </c>
      <c r="Q13" s="819">
        <f>AVERAGE(D13:P13)</f>
        <v>29961376.849999998</v>
      </c>
      <c r="R13" s="120" t="s">
        <v>128</v>
      </c>
      <c r="S13" s="345">
        <v>1</v>
      </c>
      <c r="T13" s="819">
        <f>Q13*S13</f>
        <v>29961376.849999998</v>
      </c>
      <c r="U13" s="120" t="s">
        <v>132</v>
      </c>
      <c r="V13" s="820">
        <f>+'Exhibit 6'!$D$61</f>
        <v>0.12581649289635913</v>
      </c>
      <c r="W13" s="819">
        <f>V13*T13</f>
        <v>3769635.3576131635</v>
      </c>
      <c r="X13" s="303"/>
      <c r="Y13" s="258" t="s">
        <v>603</v>
      </c>
      <c r="AA13" s="557"/>
      <c r="AB13" s="556"/>
      <c r="AC13" s="556"/>
      <c r="AD13" s="556"/>
      <c r="AE13" s="556"/>
      <c r="AF13" s="556"/>
      <c r="AG13" s="556"/>
      <c r="AH13" s="556"/>
      <c r="AI13" s="556"/>
      <c r="AJ13" s="556"/>
      <c r="AK13" s="556"/>
      <c r="AL13" s="556"/>
      <c r="AM13" s="556"/>
    </row>
    <row r="14" spans="1:39">
      <c r="A14" s="77">
        <v>4</v>
      </c>
      <c r="C14" s="14"/>
      <c r="D14" s="107"/>
      <c r="E14" s="107"/>
      <c r="F14" s="107"/>
      <c r="G14" s="107"/>
      <c r="H14" s="107"/>
      <c r="I14" s="107"/>
      <c r="J14" s="107"/>
      <c r="K14" s="107"/>
      <c r="L14" s="107"/>
      <c r="M14" s="107"/>
      <c r="N14" s="107"/>
      <c r="O14" s="107"/>
      <c r="P14" s="107"/>
      <c r="Q14" s="303"/>
      <c r="R14" s="120"/>
      <c r="S14" s="345"/>
      <c r="T14" s="303"/>
      <c r="U14" s="120"/>
      <c r="V14" s="345"/>
      <c r="W14" s="303"/>
      <c r="X14" s="303"/>
      <c r="Y14" s="258"/>
      <c r="AA14" s="557"/>
      <c r="AB14" s="556"/>
      <c r="AC14" s="556"/>
      <c r="AD14" s="556"/>
      <c r="AE14" s="556"/>
      <c r="AF14" s="556"/>
      <c r="AG14" s="556"/>
      <c r="AH14" s="556"/>
      <c r="AI14" s="556"/>
      <c r="AJ14" s="556"/>
      <c r="AK14" s="556"/>
      <c r="AL14" s="556"/>
      <c r="AM14" s="556"/>
    </row>
    <row r="15" spans="1:39">
      <c r="A15" s="77">
        <v>5</v>
      </c>
      <c r="B15" s="126" t="s">
        <v>328</v>
      </c>
      <c r="C15" s="14"/>
      <c r="D15" s="905">
        <f>1589826.64-'WP Transaction Costs'!$C$20</f>
        <v>1589826.64</v>
      </c>
      <c r="E15" s="905">
        <f>1590946.93-'WP Transaction Costs'!$C$20</f>
        <v>1590946.93</v>
      </c>
      <c r="F15" s="905">
        <f>1590946.93-'WP Transaction Costs'!$C$20</f>
        <v>1590946.93</v>
      </c>
      <c r="G15" s="905">
        <f>1591979.91-'WP Transaction Costs'!$C$20</f>
        <v>1591979.91</v>
      </c>
      <c r="H15" s="905">
        <f>1591979.91-'WP Transaction Costs'!$C$20</f>
        <v>1591979.91</v>
      </c>
      <c r="I15" s="905">
        <f>1591979.91-'WP Transaction Costs'!$C$20</f>
        <v>1591979.91</v>
      </c>
      <c r="J15" s="905">
        <f>1591979.91-'WP Transaction Costs'!$C$20</f>
        <v>1591979.91</v>
      </c>
      <c r="K15" s="905">
        <f>1591979.91-'WP Transaction Costs'!$C$20</f>
        <v>1591979.91</v>
      </c>
      <c r="L15" s="905">
        <f>1591979.91-'WP Transaction Costs'!$C$20</f>
        <v>1591979.91</v>
      </c>
      <c r="M15" s="905">
        <f>1591979.91-'WP Transaction Costs'!$C$20</f>
        <v>1591979.91</v>
      </c>
      <c r="N15" s="905">
        <f>1591979.91-'WP Transaction Costs'!$C$20</f>
        <v>1591979.91</v>
      </c>
      <c r="O15" s="905">
        <f>1591979.91-'WP Transaction Costs'!$C$20</f>
        <v>1591979.91</v>
      </c>
      <c r="P15" s="905">
        <f>1152442-'WP Transaction Costs'!C20</f>
        <v>1152442</v>
      </c>
      <c r="Q15" s="819">
        <f>AVERAGE(D15:P15)</f>
        <v>1557844.7453846154</v>
      </c>
      <c r="R15" s="120" t="s">
        <v>128</v>
      </c>
      <c r="S15" s="345">
        <v>1</v>
      </c>
      <c r="T15" s="819">
        <f>Q15*S15</f>
        <v>1557844.7453846154</v>
      </c>
      <c r="U15" s="120" t="s">
        <v>132</v>
      </c>
      <c r="V15" s="820">
        <f>+'Exhibit 6'!$D$61</f>
        <v>0.12581649289635913</v>
      </c>
      <c r="W15" s="819">
        <f>V15*T15</f>
        <v>196002.56234131387</v>
      </c>
      <c r="X15" s="303"/>
      <c r="Y15" s="258" t="s">
        <v>604</v>
      </c>
      <c r="AA15" s="557"/>
      <c r="AB15" s="556"/>
      <c r="AC15" s="556"/>
      <c r="AD15" s="556"/>
      <c r="AE15" s="556"/>
      <c r="AF15" s="556"/>
      <c r="AG15" s="556"/>
      <c r="AH15" s="556"/>
      <c r="AI15" s="556"/>
      <c r="AJ15" s="556"/>
      <c r="AK15" s="556"/>
      <c r="AL15" s="556"/>
      <c r="AM15" s="556"/>
    </row>
    <row r="16" spans="1:39">
      <c r="A16" s="77">
        <v>6</v>
      </c>
      <c r="B16" s="14"/>
      <c r="C16" s="14"/>
      <c r="D16" s="556"/>
      <c r="E16" s="556"/>
      <c r="F16" s="556"/>
      <c r="G16" s="556"/>
      <c r="H16" s="556"/>
      <c r="I16" s="556"/>
      <c r="J16" s="556"/>
      <c r="K16" s="556"/>
      <c r="L16" s="556"/>
      <c r="M16" s="556"/>
      <c r="N16" s="556"/>
      <c r="O16" s="556"/>
      <c r="P16" s="556"/>
      <c r="Q16" s="303"/>
      <c r="R16" s="303"/>
      <c r="S16" s="345"/>
      <c r="T16" s="303"/>
      <c r="U16" s="120"/>
      <c r="V16" s="345"/>
      <c r="W16" s="303"/>
      <c r="X16" s="303"/>
      <c r="Y16" s="252"/>
      <c r="AA16" s="557"/>
      <c r="AB16" s="556"/>
      <c r="AC16" s="556"/>
      <c r="AD16" s="556"/>
      <c r="AE16" s="556"/>
      <c r="AF16" s="556"/>
      <c r="AG16" s="556"/>
      <c r="AH16" s="556"/>
      <c r="AI16" s="556"/>
      <c r="AJ16" s="556"/>
      <c r="AK16" s="556"/>
      <c r="AL16" s="556"/>
      <c r="AM16" s="556"/>
    </row>
    <row r="17" spans="1:39">
      <c r="A17" s="77">
        <v>7</v>
      </c>
      <c r="B17" s="126" t="s">
        <v>138</v>
      </c>
      <c r="C17" s="14"/>
      <c r="D17" s="904">
        <v>-182754.33000000002</v>
      </c>
      <c r="E17" s="904">
        <v>-152280.68</v>
      </c>
      <c r="F17" s="904">
        <v>-152280.68</v>
      </c>
      <c r="G17" s="904">
        <v>-137051.15</v>
      </c>
      <c r="H17" s="904">
        <v>-121821.62</v>
      </c>
      <c r="I17" s="904">
        <v>-106592.08999999998</v>
      </c>
      <c r="J17" s="904">
        <v>-91362.559999999983</v>
      </c>
      <c r="K17" s="904">
        <v>-76133.029999999984</v>
      </c>
      <c r="L17" s="904">
        <v>-60903.499999999985</v>
      </c>
      <c r="M17" s="904">
        <v>-45673.969999999972</v>
      </c>
      <c r="N17" s="904">
        <v>-30444.439999999973</v>
      </c>
      <c r="O17" s="904">
        <v>-15197.069999999978</v>
      </c>
      <c r="P17" s="904">
        <v>2.9103830456733704E-11</v>
      </c>
      <c r="Q17" s="819">
        <f>AVERAGE(D17:P17)</f>
        <v>-90191.932307692303</v>
      </c>
      <c r="R17" s="120" t="s">
        <v>128</v>
      </c>
      <c r="S17" s="345">
        <v>1</v>
      </c>
      <c r="T17" s="819">
        <f>Q17*S17</f>
        <v>-90191.932307692303</v>
      </c>
      <c r="U17" s="120" t="s">
        <v>132</v>
      </c>
      <c r="V17" s="820">
        <f>+'Exhibit 6'!$D$61</f>
        <v>0.12581649289635913</v>
      </c>
      <c r="W17" s="819">
        <f>V17*T17</f>
        <v>-11347.632610499672</v>
      </c>
      <c r="X17" s="303"/>
      <c r="Y17" s="258" t="s">
        <v>554</v>
      </c>
      <c r="AA17" s="557"/>
      <c r="AB17" s="556"/>
      <c r="AC17" s="556"/>
      <c r="AD17" s="556"/>
      <c r="AE17" s="556"/>
      <c r="AF17" s="556"/>
      <c r="AG17" s="556"/>
      <c r="AH17" s="556"/>
      <c r="AI17" s="556"/>
      <c r="AJ17" s="556"/>
      <c r="AK17" s="556"/>
      <c r="AL17" s="556"/>
      <c r="AM17" s="556"/>
    </row>
    <row r="18" spans="1:39">
      <c r="A18" s="77">
        <v>8</v>
      </c>
      <c r="B18" s="14"/>
      <c r="C18" s="385" t="s">
        <v>126</v>
      </c>
      <c r="D18" s="99"/>
      <c r="E18" s="99"/>
      <c r="F18" s="99"/>
      <c r="G18" s="99"/>
      <c r="H18" s="99"/>
      <c r="I18" s="99"/>
      <c r="J18" s="99"/>
      <c r="K18" s="99"/>
      <c r="L18" s="99"/>
      <c r="M18" s="99"/>
      <c r="N18" s="99"/>
      <c r="O18" s="99"/>
      <c r="P18" s="99"/>
      <c r="Q18" s="389"/>
      <c r="R18" s="390"/>
      <c r="S18" s="391"/>
      <c r="T18" s="389"/>
      <c r="U18" s="390"/>
      <c r="V18" s="391"/>
      <c r="W18" s="821">
        <f>SUM(W11:W17)</f>
        <v>82179997.114420906</v>
      </c>
      <c r="X18" s="303"/>
      <c r="Y18" s="258" t="s">
        <v>410</v>
      </c>
      <c r="AA18" s="557"/>
      <c r="AB18" s="556"/>
      <c r="AC18" s="556"/>
      <c r="AD18" s="556"/>
      <c r="AE18" s="556"/>
      <c r="AF18" s="556"/>
      <c r="AG18" s="556"/>
      <c r="AH18" s="556"/>
      <c r="AI18" s="556"/>
      <c r="AJ18" s="556"/>
      <c r="AK18" s="556"/>
      <c r="AL18" s="556"/>
      <c r="AM18" s="556"/>
    </row>
    <row r="19" spans="1:39">
      <c r="A19" s="77">
        <v>9</v>
      </c>
      <c r="B19" s="14"/>
      <c r="C19" s="14"/>
      <c r="D19" s="556"/>
      <c r="E19" s="556"/>
      <c r="F19" s="556"/>
      <c r="G19" s="556"/>
      <c r="H19" s="556"/>
      <c r="I19" s="556"/>
      <c r="J19" s="556"/>
      <c r="K19" s="556"/>
      <c r="L19" s="556"/>
      <c r="M19" s="556"/>
      <c r="N19" s="556"/>
      <c r="O19" s="556"/>
      <c r="P19" s="556"/>
      <c r="Q19" s="303"/>
      <c r="R19" s="120"/>
      <c r="S19" s="345"/>
      <c r="T19" s="303"/>
      <c r="U19" s="120"/>
      <c r="V19" s="345"/>
      <c r="W19" s="303"/>
      <c r="X19" s="303"/>
      <c r="Y19" s="258"/>
      <c r="AA19" s="557"/>
      <c r="AB19" s="556"/>
      <c r="AC19" s="556"/>
      <c r="AD19" s="556"/>
      <c r="AE19" s="556"/>
      <c r="AF19" s="556"/>
      <c r="AG19" s="556"/>
      <c r="AH19" s="556"/>
      <c r="AI19" s="556"/>
      <c r="AJ19" s="556"/>
      <c r="AK19" s="556"/>
      <c r="AL19" s="556"/>
      <c r="AM19" s="556"/>
    </row>
    <row r="20" spans="1:39">
      <c r="A20" s="77">
        <v>10</v>
      </c>
      <c r="B20" s="126" t="s">
        <v>137</v>
      </c>
      <c r="C20" s="126"/>
      <c r="D20" s="904">
        <v>0</v>
      </c>
      <c r="E20" s="904">
        <v>0</v>
      </c>
      <c r="F20" s="904">
        <v>0</v>
      </c>
      <c r="G20" s="904">
        <v>0</v>
      </c>
      <c r="H20" s="904">
        <v>0</v>
      </c>
      <c r="I20" s="904">
        <v>0</v>
      </c>
      <c r="J20" s="904">
        <v>0</v>
      </c>
      <c r="K20" s="904">
        <v>0</v>
      </c>
      <c r="L20" s="904">
        <v>0</v>
      </c>
      <c r="M20" s="904">
        <v>0</v>
      </c>
      <c r="N20" s="904">
        <v>0</v>
      </c>
      <c r="O20" s="904">
        <v>0</v>
      </c>
      <c r="P20" s="904">
        <v>0</v>
      </c>
      <c r="Q20" s="819">
        <f>AVERAGE(D20:P20)</f>
        <v>0</v>
      </c>
      <c r="R20" s="120" t="s">
        <v>128</v>
      </c>
      <c r="S20" s="345">
        <v>1</v>
      </c>
      <c r="T20" s="819">
        <f>Q20*S20</f>
        <v>0</v>
      </c>
      <c r="U20" s="120" t="s">
        <v>130</v>
      </c>
      <c r="V20" s="147">
        <v>1</v>
      </c>
      <c r="W20" s="819">
        <f>V20*T20</f>
        <v>0</v>
      </c>
      <c r="X20" s="303"/>
      <c r="Y20" s="258" t="s">
        <v>136</v>
      </c>
      <c r="AA20" s="557"/>
      <c r="AB20" s="556"/>
      <c r="AC20" s="556"/>
      <c r="AD20" s="556"/>
      <c r="AE20" s="556"/>
      <c r="AF20" s="556"/>
      <c r="AG20" s="556"/>
      <c r="AH20" s="556"/>
      <c r="AI20" s="556"/>
      <c r="AJ20" s="556"/>
      <c r="AK20" s="556"/>
      <c r="AL20" s="556"/>
      <c r="AM20" s="556"/>
    </row>
    <row r="21" spans="1:39" ht="15">
      <c r="A21" s="77">
        <v>11</v>
      </c>
      <c r="B21" s="18"/>
      <c r="C21" s="18"/>
      <c r="D21" s="347"/>
      <c r="E21" s="347"/>
      <c r="F21" s="347"/>
      <c r="G21" s="347"/>
      <c r="H21" s="347"/>
      <c r="I21" s="347"/>
      <c r="J21" s="347"/>
      <c r="K21" s="347"/>
      <c r="L21" s="347"/>
      <c r="M21" s="347"/>
      <c r="N21" s="347"/>
      <c r="O21" s="347"/>
      <c r="P21" s="347"/>
      <c r="Q21" s="303"/>
      <c r="R21" s="303"/>
      <c r="S21" s="345"/>
      <c r="T21" s="303"/>
      <c r="U21" s="120"/>
      <c r="V21" s="345"/>
      <c r="W21" s="303"/>
      <c r="X21" s="303"/>
      <c r="Y21" s="258"/>
      <c r="AA21" s="557"/>
      <c r="AB21" s="556"/>
      <c r="AC21" s="556"/>
      <c r="AD21" s="556"/>
      <c r="AE21" s="556"/>
      <c r="AF21" s="556"/>
      <c r="AG21" s="556"/>
      <c r="AH21" s="556"/>
      <c r="AI21" s="556"/>
      <c r="AJ21" s="556"/>
      <c r="AK21" s="556"/>
      <c r="AL21" s="556"/>
      <c r="AM21" s="556"/>
    </row>
    <row r="22" spans="1:39" s="256" customFormat="1" ht="15">
      <c r="A22" s="77">
        <v>12</v>
      </c>
      <c r="B22" s="135" t="s">
        <v>689</v>
      </c>
      <c r="C22" s="18"/>
      <c r="D22" s="455"/>
      <c r="E22" s="455"/>
      <c r="F22" s="455"/>
      <c r="G22" s="455"/>
      <c r="H22" s="455"/>
      <c r="I22" s="455"/>
      <c r="J22" s="455"/>
      <c r="K22" s="455"/>
      <c r="L22" s="455"/>
      <c r="M22" s="455"/>
      <c r="N22" s="455"/>
      <c r="O22" s="455"/>
      <c r="P22" s="455"/>
      <c r="Q22" s="455"/>
      <c r="R22" s="303"/>
      <c r="S22" s="345"/>
      <c r="T22" s="303"/>
      <c r="U22" s="120" t="s">
        <v>130</v>
      </c>
      <c r="V22" s="345">
        <v>1</v>
      </c>
      <c r="W22" s="303"/>
      <c r="X22" s="303"/>
      <c r="Y22" s="258"/>
      <c r="AA22" s="557"/>
      <c r="AB22" s="556"/>
      <c r="AC22" s="556"/>
      <c r="AD22" s="556"/>
      <c r="AE22" s="556"/>
      <c r="AF22" s="556"/>
      <c r="AG22" s="556"/>
      <c r="AH22" s="556"/>
      <c r="AI22" s="556"/>
      <c r="AJ22" s="556"/>
      <c r="AK22" s="556"/>
      <c r="AL22" s="556"/>
      <c r="AM22" s="556"/>
    </row>
    <row r="23" spans="1:39">
      <c r="A23" s="77">
        <v>13</v>
      </c>
      <c r="C23" s="14" t="s">
        <v>669</v>
      </c>
      <c r="D23" s="906">
        <f>-15476976.03-'WP Transaction Costs'!$C25+'WP Line 6901 Adjustments'!C17</f>
        <v>-15316770.13624488</v>
      </c>
      <c r="E23" s="906">
        <f>-15618270.74-'WP Transaction Costs'!$C26+'WP Line 6901 Adjustments'!D17</f>
        <v>-15453781.396622682</v>
      </c>
      <c r="F23" s="906">
        <f>-15736404.49-'WP Transaction Costs'!$C27+'WP Line 6901 Adjustments'!E17</f>
        <v>-15567631.697000481</v>
      </c>
      <c r="G23" s="906">
        <f>-15878086.84-'WP Transaction Costs'!$C28+'WP Line 6901 Adjustments'!F17</f>
        <v>-15705030.59737828</v>
      </c>
      <c r="H23" s="906">
        <f>-16012185.92-'WP Transaction Costs'!$C29+'WP Line 6901 Adjustments'!G17</f>
        <v>-15834846.227756081</v>
      </c>
      <c r="I23" s="906">
        <f>-16149521.52-'WP Transaction Costs'!$C30+'WP Line 6901 Adjustments'!H17</f>
        <v>-15971889.068133881</v>
      </c>
      <c r="J23" s="906">
        <f>-16286870.57-'WP Transaction Costs'!$C31+'WP Line 6901 Adjustments'!I17</f>
        <v>-16108945.358511681</v>
      </c>
      <c r="K23" s="906">
        <f>-16424219.62-'WP Transaction Costs'!$C32+'WP Line 6901 Adjustments'!J17</f>
        <v>-16246001.64888948</v>
      </c>
      <c r="L23" s="906">
        <f>-16561568.67-'WP Transaction Costs'!$C33+'WP Line 6901 Adjustments'!K17</f>
        <v>-16383057.939267281</v>
      </c>
      <c r="M23" s="906">
        <f>-16698965.17-'WP Transaction Costs'!$C34+'WP Line 6901 Adjustments'!L17</f>
        <v>-16520161.679645082</v>
      </c>
      <c r="N23" s="906">
        <f>-16836361.67-'WP Transaction Costs'!$C35+'WP Line 6901 Adjustments'!M17</f>
        <v>-16657265.420022884</v>
      </c>
      <c r="O23" s="906">
        <f>-16973811.34-'WP Transaction Costs'!$C36+'WP Line 6901 Adjustments'!N17</f>
        <v>-16794422.330400679</v>
      </c>
      <c r="P23" s="906">
        <f>-16928082.08-'WP Transaction Costs'!$C37+'WP Line 6901 Adjustments'!O17</f>
        <v>-16748400.310778478</v>
      </c>
      <c r="Q23" s="819">
        <f>AVERAGE(D23:P23)</f>
        <v>-16100631.062357834</v>
      </c>
      <c r="R23" s="438" t="s">
        <v>128</v>
      </c>
      <c r="S23" s="560">
        <v>1</v>
      </c>
      <c r="T23" s="819">
        <f>Q23*S23</f>
        <v>-16100631.062357834</v>
      </c>
      <c r="U23" s="120" t="s">
        <v>130</v>
      </c>
      <c r="V23" s="147">
        <v>1</v>
      </c>
      <c r="W23" s="819">
        <f>+T23*V23</f>
        <v>-16100631.062357834</v>
      </c>
      <c r="X23" s="303"/>
      <c r="Y23" s="258" t="s">
        <v>135</v>
      </c>
      <c r="AA23" s="557"/>
      <c r="AB23" s="556"/>
      <c r="AC23" s="556"/>
      <c r="AD23" s="556"/>
      <c r="AE23" s="556"/>
      <c r="AF23" s="556"/>
      <c r="AG23" s="556"/>
      <c r="AH23" s="556"/>
      <c r="AI23" s="556"/>
      <c r="AJ23" s="556"/>
      <c r="AK23" s="556"/>
      <c r="AL23" s="556"/>
      <c r="AM23" s="556"/>
    </row>
    <row r="24" spans="1:39">
      <c r="A24" s="77">
        <v>14</v>
      </c>
      <c r="C24" s="164" t="s">
        <v>662</v>
      </c>
      <c r="D24" s="906">
        <f>-8910892.6-'WP Transaction Costs'!$D25</f>
        <v>-8820562.974906249</v>
      </c>
      <c r="E24" s="906">
        <f>-8895142.68-'WP Transaction Costs'!$D26</f>
        <v>-8803185.4940937497</v>
      </c>
      <c r="F24" s="906">
        <f>-8958003.96-'WP Transaction Costs'!$D27</f>
        <v>-8864419.2132812515</v>
      </c>
      <c r="G24" s="906">
        <f>-9020865.24-'WP Transaction Costs'!$D28</f>
        <v>-8925652.9324687496</v>
      </c>
      <c r="H24" s="906">
        <f>-9083726.52-'WP Transaction Costs'!$D29</f>
        <v>-8986886.6516562495</v>
      </c>
      <c r="I24" s="906">
        <f>-9067369.17-'WP Transaction Costs'!$D30</f>
        <v>-8968901.7408437505</v>
      </c>
      <c r="J24" s="906">
        <f>-9130156.87-'WP Transaction Costs'!$D31</f>
        <v>-9030061.8800312486</v>
      </c>
      <c r="K24" s="906">
        <f>-9192944.57-'WP Transaction Costs'!$D32</f>
        <v>-9091222.0192187503</v>
      </c>
      <c r="L24" s="906">
        <f>-9239291.46-'WP Transaction Costs'!$D33</f>
        <v>-9135941.3484062515</v>
      </c>
      <c r="M24" s="906">
        <f>-9303889.27-'WP Transaction Costs'!$D34</f>
        <v>-9198911.5975937489</v>
      </c>
      <c r="N24" s="906">
        <f>-9368487.08-'WP Transaction Costs'!$D35</f>
        <v>-9261881.8467812501</v>
      </c>
      <c r="O24" s="906">
        <f>-9433102.05-'WP Transaction Costs'!$D36</f>
        <v>-9324869.2559687514</v>
      </c>
      <c r="P24" s="906">
        <f>-9137985.63-'WP Transaction Costs'!$D37</f>
        <v>-9028125.2751562502</v>
      </c>
      <c r="Q24" s="819">
        <f>AVERAGE(D24:P24)</f>
        <v>-9033894.0177235585</v>
      </c>
      <c r="R24" s="120" t="s">
        <v>128</v>
      </c>
      <c r="S24" s="345">
        <v>1</v>
      </c>
      <c r="T24" s="819">
        <f>Q24*S24</f>
        <v>-9033894.0177235585</v>
      </c>
      <c r="U24" s="120" t="s">
        <v>132</v>
      </c>
      <c r="V24" s="820">
        <f>+'Exhibit 6'!$D$61</f>
        <v>0.12581649289635913</v>
      </c>
      <c r="W24" s="819">
        <f>V24*T24</f>
        <v>-1136612.8625073773</v>
      </c>
      <c r="X24" s="303"/>
      <c r="Y24" s="258" t="s">
        <v>134</v>
      </c>
      <c r="AA24" s="557"/>
      <c r="AB24" s="556"/>
      <c r="AC24" s="556"/>
      <c r="AD24" s="556"/>
      <c r="AE24" s="556"/>
      <c r="AF24" s="556"/>
      <c r="AG24" s="556"/>
      <c r="AH24" s="556"/>
      <c r="AI24" s="556"/>
      <c r="AJ24" s="556"/>
      <c r="AK24" s="556"/>
      <c r="AL24" s="556"/>
      <c r="AM24" s="556"/>
    </row>
    <row r="25" spans="1:39">
      <c r="A25" s="77">
        <v>15</v>
      </c>
      <c r="C25" s="164" t="s">
        <v>663</v>
      </c>
      <c r="D25" s="906">
        <f>-1076368.93-'WP Transaction Costs'!$E25</f>
        <v>-1076368.93</v>
      </c>
      <c r="E25" s="906">
        <f>-1095636.48-'WP Transaction Costs'!$E26</f>
        <v>-1095636.48</v>
      </c>
      <c r="F25" s="906">
        <f>-1114877.88-'WP Transaction Costs'!$E27</f>
        <v>-1114877.8799999999</v>
      </c>
      <c r="G25" s="906">
        <f>-1134147.98-'WP Transaction Costs'!$E28</f>
        <v>-1134147.98</v>
      </c>
      <c r="H25" s="906">
        <f>-1153418.08-'WP Transaction Costs'!$E29</f>
        <v>-1153418.08</v>
      </c>
      <c r="I25" s="906">
        <f>-1172688.18-'WP Transaction Costs'!$E30</f>
        <v>-1172688.18</v>
      </c>
      <c r="J25" s="906">
        <f>-1191958.28-'WP Transaction Costs'!$E31</f>
        <v>-1191958.28</v>
      </c>
      <c r="K25" s="906">
        <f>-1211228.38-'WP Transaction Costs'!$E32</f>
        <v>-1211228.3799999999</v>
      </c>
      <c r="L25" s="906">
        <f>-1230498.48-'WP Transaction Costs'!$E33</f>
        <v>-1230498.48</v>
      </c>
      <c r="M25" s="906">
        <f>-1249768.58-'WP Transaction Costs'!$E34</f>
        <v>-1249768.58</v>
      </c>
      <c r="N25" s="906">
        <f>-1269038.68-'WP Transaction Costs'!$E35</f>
        <v>-1269038.68</v>
      </c>
      <c r="O25" s="906">
        <f>-1288308.78-'WP Transaction Costs'!$E36</f>
        <v>-1288308.78</v>
      </c>
      <c r="P25" s="906">
        <f>-460647.66-'WP Transaction Costs'!$E37</f>
        <v>-460647.66</v>
      </c>
      <c r="Q25" s="822">
        <f>AVERAGE(D25:P25)</f>
        <v>-1126814.336153846</v>
      </c>
      <c r="R25" s="120" t="s">
        <v>128</v>
      </c>
      <c r="S25" s="345">
        <v>1</v>
      </c>
      <c r="T25" s="822">
        <f>Q25*S25</f>
        <v>-1126814.336153846</v>
      </c>
      <c r="U25" s="120" t="s">
        <v>132</v>
      </c>
      <c r="V25" s="823">
        <f>+'Exhibit 6'!$D$61</f>
        <v>0.12581649289635913</v>
      </c>
      <c r="W25" s="822">
        <f>V25*T25</f>
        <v>-141771.82792021599</v>
      </c>
      <c r="X25" s="303"/>
      <c r="Y25" s="258" t="s">
        <v>670</v>
      </c>
      <c r="AA25" s="557"/>
      <c r="AB25" s="556"/>
      <c r="AC25" s="556"/>
      <c r="AD25" s="556"/>
      <c r="AE25" s="556"/>
      <c r="AF25" s="556"/>
      <c r="AG25" s="556"/>
      <c r="AH25" s="556"/>
      <c r="AI25" s="556"/>
      <c r="AJ25" s="556"/>
      <c r="AK25" s="556"/>
      <c r="AL25" s="556"/>
      <c r="AM25" s="556"/>
    </row>
    <row r="26" spans="1:39">
      <c r="A26" s="77">
        <v>16</v>
      </c>
      <c r="C26" s="385" t="s">
        <v>126</v>
      </c>
      <c r="D26" s="99"/>
      <c r="E26" s="392"/>
      <c r="F26" s="392"/>
      <c r="G26" s="392"/>
      <c r="H26" s="392"/>
      <c r="I26" s="392"/>
      <c r="J26" s="392"/>
      <c r="K26" s="392"/>
      <c r="L26" s="392"/>
      <c r="M26" s="392"/>
      <c r="N26" s="392"/>
      <c r="O26" s="392"/>
      <c r="P26" s="392"/>
      <c r="Q26" s="389"/>
      <c r="R26" s="390"/>
      <c r="S26" s="391"/>
      <c r="T26" s="389"/>
      <c r="U26" s="390"/>
      <c r="V26" s="391"/>
      <c r="W26" s="824">
        <f>+W23+W24+W25</f>
        <v>-17379015.752785429</v>
      </c>
      <c r="X26" s="303"/>
      <c r="Y26" s="258" t="s">
        <v>671</v>
      </c>
      <c r="AA26" s="557"/>
    </row>
    <row r="27" spans="1:39">
      <c r="A27" s="77">
        <v>17</v>
      </c>
      <c r="C27" s="14"/>
      <c r="D27" s="557"/>
      <c r="E27" s="557"/>
      <c r="F27" s="557"/>
      <c r="G27" s="557"/>
      <c r="H27" s="557"/>
      <c r="I27" s="557"/>
      <c r="J27" s="557"/>
      <c r="K27" s="557"/>
      <c r="L27" s="557"/>
      <c r="M27" s="557"/>
      <c r="N27" s="557"/>
      <c r="O27" s="557"/>
      <c r="P27" s="557"/>
      <c r="Q27" s="557"/>
      <c r="R27" s="120"/>
      <c r="S27" s="345"/>
      <c r="T27" s="303"/>
      <c r="U27" s="120"/>
      <c r="V27" s="345"/>
      <c r="W27" s="303"/>
      <c r="X27" s="303"/>
      <c r="Y27" s="258"/>
      <c r="AA27" s="557"/>
    </row>
    <row r="28" spans="1:39">
      <c r="A28" s="77">
        <v>18</v>
      </c>
      <c r="B28" s="135" t="s">
        <v>133</v>
      </c>
      <c r="C28" s="14"/>
      <c r="D28" s="338"/>
      <c r="E28" s="338"/>
      <c r="F28" s="338"/>
      <c r="G28" s="338"/>
      <c r="H28" s="338"/>
      <c r="I28" s="338"/>
      <c r="J28" s="338"/>
      <c r="K28" s="338"/>
      <c r="L28" s="338"/>
      <c r="M28" s="338"/>
      <c r="N28" s="338"/>
      <c r="O28" s="338"/>
      <c r="P28" s="338"/>
      <c r="Q28" s="303"/>
      <c r="R28" s="120"/>
      <c r="S28" s="345"/>
      <c r="T28" s="303"/>
      <c r="U28" s="120"/>
      <c r="V28" s="345"/>
      <c r="W28" s="303"/>
      <c r="X28" s="303"/>
      <c r="Y28" s="258"/>
      <c r="AA28" s="557"/>
    </row>
    <row r="29" spans="1:39" ht="15.75">
      <c r="A29" s="77">
        <v>19</v>
      </c>
      <c r="C29" s="14" t="s">
        <v>551</v>
      </c>
      <c r="D29" s="825"/>
      <c r="E29" s="825"/>
      <c r="F29" s="825"/>
      <c r="G29" s="825"/>
      <c r="H29" s="825"/>
      <c r="I29" s="825"/>
      <c r="J29" s="825"/>
      <c r="K29" s="825"/>
      <c r="L29" s="825"/>
      <c r="M29" s="825"/>
      <c r="N29" s="825"/>
      <c r="O29" s="825"/>
      <c r="P29" s="825"/>
      <c r="Q29" s="825"/>
      <c r="R29" s="825"/>
      <c r="S29" s="542"/>
      <c r="T29" s="825"/>
      <c r="U29" s="120"/>
      <c r="V29" s="345"/>
      <c r="W29" s="826">
        <f>'WP ADIT'!T85+'WP ADIT'!T123+'WP Line 6901 Adjustments'!C20</f>
        <v>-6893230.6974888686</v>
      </c>
      <c r="X29" s="303"/>
      <c r="Y29" s="258" t="s">
        <v>660</v>
      </c>
      <c r="AA29" s="557"/>
    </row>
    <row r="30" spans="1:39" ht="15">
      <c r="A30" s="77">
        <v>20</v>
      </c>
      <c r="C30" s="14" t="s">
        <v>552</v>
      </c>
      <c r="D30" s="825"/>
      <c r="E30" s="825"/>
      <c r="F30" s="825"/>
      <c r="G30" s="825"/>
      <c r="H30" s="825"/>
      <c r="I30" s="825"/>
      <c r="J30" s="825"/>
      <c r="K30" s="825"/>
      <c r="L30" s="825"/>
      <c r="M30" s="825"/>
      <c r="N30" s="825"/>
      <c r="O30" s="825"/>
      <c r="P30" s="825"/>
      <c r="Q30" s="825"/>
      <c r="R30" s="825"/>
      <c r="S30" s="345"/>
      <c r="T30" s="825"/>
      <c r="U30" s="120"/>
      <c r="V30" s="345"/>
      <c r="W30" s="826">
        <f>'WP ADIT'!T47</f>
        <v>374643.78890788561</v>
      </c>
      <c r="X30" s="303"/>
      <c r="Y30" s="258" t="s">
        <v>633</v>
      </c>
      <c r="AA30" s="557"/>
    </row>
    <row r="31" spans="1:39" ht="15">
      <c r="A31" s="77">
        <v>21</v>
      </c>
      <c r="C31" s="385" t="s">
        <v>126</v>
      </c>
      <c r="D31" s="402"/>
      <c r="E31" s="402"/>
      <c r="F31" s="402"/>
      <c r="G31" s="402"/>
      <c r="H31" s="402"/>
      <c r="I31" s="402"/>
      <c r="J31" s="402"/>
      <c r="K31" s="402"/>
      <c r="L31" s="402"/>
      <c r="M31" s="402"/>
      <c r="N31" s="402"/>
      <c r="O31" s="402"/>
      <c r="P31" s="402"/>
      <c r="Q31" s="827"/>
      <c r="R31" s="390"/>
      <c r="S31" s="391"/>
      <c r="T31" s="827"/>
      <c r="U31" s="390"/>
      <c r="V31" s="391"/>
      <c r="W31" s="828">
        <f>SUM(W29:W30)</f>
        <v>-6518586.9085809831</v>
      </c>
      <c r="X31" s="303"/>
      <c r="Y31" s="258" t="s">
        <v>672</v>
      </c>
      <c r="AA31" s="557"/>
    </row>
    <row r="32" spans="1:39">
      <c r="A32" s="77">
        <v>22</v>
      </c>
      <c r="C32" s="14"/>
      <c r="D32" s="557"/>
      <c r="E32" s="557"/>
      <c r="F32" s="557"/>
      <c r="G32" s="557"/>
      <c r="H32" s="557"/>
      <c r="I32" s="557"/>
      <c r="J32" s="557"/>
      <c r="K32" s="557"/>
      <c r="L32" s="557"/>
      <c r="M32" s="557"/>
      <c r="N32" s="557"/>
      <c r="O32" s="557"/>
      <c r="P32" s="557"/>
      <c r="Q32" s="303"/>
      <c r="R32" s="120"/>
      <c r="S32" s="345"/>
      <c r="T32" s="303"/>
      <c r="U32" s="120"/>
      <c r="V32" s="345"/>
      <c r="W32" s="303"/>
      <c r="X32" s="303"/>
      <c r="Y32" s="258"/>
      <c r="AA32" s="557"/>
    </row>
    <row r="33" spans="1:27">
      <c r="A33" s="77">
        <v>23</v>
      </c>
      <c r="B33" s="126" t="s">
        <v>632</v>
      </c>
      <c r="C33" s="126"/>
      <c r="D33" s="556"/>
      <c r="E33" s="556"/>
      <c r="F33" s="556"/>
      <c r="G33" s="556"/>
      <c r="H33" s="556"/>
      <c r="I33" s="556"/>
      <c r="J33" s="556"/>
      <c r="K33" s="556"/>
      <c r="L33" s="556"/>
      <c r="M33" s="556"/>
      <c r="N33" s="556"/>
      <c r="O33" s="556"/>
      <c r="P33" s="556"/>
      <c r="Q33" s="303"/>
      <c r="R33" s="303"/>
      <c r="S33" s="345"/>
      <c r="T33" s="303"/>
      <c r="U33" s="120"/>
      <c r="V33" s="345"/>
      <c r="W33" s="303"/>
      <c r="X33" s="303"/>
      <c r="Y33" s="258"/>
      <c r="AA33" s="557"/>
    </row>
    <row r="34" spans="1:27">
      <c r="A34" s="77">
        <v>24</v>
      </c>
      <c r="B34" s="126"/>
      <c r="C34" s="80" t="s">
        <v>8</v>
      </c>
      <c r="D34" s="904">
        <v>3527626.8</v>
      </c>
      <c r="E34" s="904">
        <v>3450899.8899999997</v>
      </c>
      <c r="F34" s="904">
        <v>3374172.98</v>
      </c>
      <c r="G34" s="904">
        <v>3297446.07</v>
      </c>
      <c r="H34" s="904">
        <v>3220719.1599999997</v>
      </c>
      <c r="I34" s="904">
        <v>3143992.25</v>
      </c>
      <c r="J34" s="904">
        <v>3067265.34</v>
      </c>
      <c r="K34" s="904">
        <v>2990538.4299999997</v>
      </c>
      <c r="L34" s="904">
        <v>2913811.5199999996</v>
      </c>
      <c r="M34" s="904">
        <v>2837084.6099999994</v>
      </c>
      <c r="N34" s="904">
        <v>2760357.6999999997</v>
      </c>
      <c r="O34" s="904">
        <v>2683630.7899999996</v>
      </c>
      <c r="P34" s="904">
        <v>2588801.8799999994</v>
      </c>
      <c r="Q34" s="822">
        <f>AVERAGE(D34:P34)</f>
        <v>3065872.8784615388</v>
      </c>
      <c r="R34" s="120" t="s">
        <v>128</v>
      </c>
      <c r="S34" s="345">
        <v>1</v>
      </c>
      <c r="T34" s="819">
        <f>+Q34*S34</f>
        <v>3065872.8784615388</v>
      </c>
      <c r="U34" s="120" t="s">
        <v>132</v>
      </c>
      <c r="V34" s="820">
        <f>+'Exhibit 6'!$D$61</f>
        <v>0.12581649289635913</v>
      </c>
      <c r="W34" s="819">
        <f>+T34*V34</f>
        <v>385737.37323409633</v>
      </c>
      <c r="X34" s="303"/>
      <c r="Y34" s="258" t="s">
        <v>555</v>
      </c>
      <c r="AA34" s="557"/>
    </row>
    <row r="35" spans="1:27">
      <c r="A35" s="77">
        <v>25</v>
      </c>
      <c r="B35" s="126"/>
      <c r="C35" s="80" t="s">
        <v>616</v>
      </c>
      <c r="D35" s="817">
        <v>-2870037.74</v>
      </c>
      <c r="E35" s="817">
        <v>-6300209.1299999999</v>
      </c>
      <c r="F35" s="817">
        <v>-6263104.7000000002</v>
      </c>
      <c r="G35" s="817">
        <v>-6238768.6400000006</v>
      </c>
      <c r="H35" s="817">
        <v>-6219241.8200000003</v>
      </c>
      <c r="I35" s="817">
        <v>-6063520.8200000003</v>
      </c>
      <c r="J35" s="817">
        <v>-6033903.6300000008</v>
      </c>
      <c r="K35" s="817">
        <v>-5998619.4100000001</v>
      </c>
      <c r="L35" s="817">
        <v>-5830821.2800000003</v>
      </c>
      <c r="M35" s="817">
        <v>-5689257.3799999999</v>
      </c>
      <c r="N35" s="817">
        <v>-5586702.4399999995</v>
      </c>
      <c r="O35" s="817">
        <v>-5285354.1500000004</v>
      </c>
      <c r="P35" s="817">
        <v>-5272707.1500000004</v>
      </c>
      <c r="Q35" s="822">
        <f>AVERAGE(D35:P35)</f>
        <v>-5665557.5607692311</v>
      </c>
      <c r="R35" s="120" t="s">
        <v>128</v>
      </c>
      <c r="S35" s="345">
        <v>1</v>
      </c>
      <c r="T35" s="819">
        <f>+Q35*S35</f>
        <v>-5665557.5607692311</v>
      </c>
      <c r="U35" s="120" t="s">
        <v>132</v>
      </c>
      <c r="V35" s="820">
        <f>+'Exhibit 6'!$D$61</f>
        <v>0.12581649289635913</v>
      </c>
      <c r="W35" s="819">
        <f>+T35*V35</f>
        <v>-712820.58259843569</v>
      </c>
      <c r="X35" s="303"/>
      <c r="Y35" s="258" t="s">
        <v>617</v>
      </c>
      <c r="AA35" s="557"/>
    </row>
    <row r="36" spans="1:27">
      <c r="A36" s="77">
        <v>26.1</v>
      </c>
      <c r="B36" s="126"/>
      <c r="C36" s="80" t="s">
        <v>746</v>
      </c>
      <c r="D36" s="817">
        <f>'WP EADIT Liability'!C16</f>
        <v>-2768902.0781470137</v>
      </c>
      <c r="E36" s="817">
        <f>'WP EADIT Liability'!D16</f>
        <v>-2756459.7812719941</v>
      </c>
      <c r="F36" s="817">
        <f>'WP EADIT Liability'!E16</f>
        <v>-2744017.484396975</v>
      </c>
      <c r="G36" s="817">
        <f>'WP EADIT Liability'!F16</f>
        <v>-2731575.1875219555</v>
      </c>
      <c r="H36" s="817">
        <f>'WP EADIT Liability'!G16</f>
        <v>-2719132.8906469364</v>
      </c>
      <c r="I36" s="817">
        <f>'WP EADIT Liability'!H16</f>
        <v>-2706690.5937719168</v>
      </c>
      <c r="J36" s="817">
        <f>'WP EADIT Liability'!I16</f>
        <v>-2694248.2968968977</v>
      </c>
      <c r="K36" s="817">
        <f>'WP EADIT Liability'!J16</f>
        <v>-2681806.0000218777</v>
      </c>
      <c r="L36" s="817">
        <f>'WP EADIT Liability'!K16</f>
        <v>-2669363.7031468586</v>
      </c>
      <c r="M36" s="817">
        <f>'WP EADIT Liability'!L16</f>
        <v>-2656921.406271839</v>
      </c>
      <c r="N36" s="817">
        <f>'WP EADIT Liability'!M16</f>
        <v>-2644479.10939682</v>
      </c>
      <c r="O36" s="817">
        <f>'WP EADIT Liability'!N16</f>
        <v>-2632036.8125218004</v>
      </c>
      <c r="P36" s="817">
        <f>'WP EADIT Liability'!O16</f>
        <v>-2619594.5156467813</v>
      </c>
      <c r="Q36" s="822">
        <f>AVERAGE(D36:P36)</f>
        <v>-2694248.2968968973</v>
      </c>
      <c r="R36" s="120" t="s">
        <v>128</v>
      </c>
      <c r="S36" s="345">
        <v>1</v>
      </c>
      <c r="T36" s="822">
        <f>Q36*S36</f>
        <v>-2694248.2968968973</v>
      </c>
      <c r="U36" s="120" t="s">
        <v>130</v>
      </c>
      <c r="V36" s="823">
        <v>1</v>
      </c>
      <c r="W36" s="822">
        <f>V36*T36</f>
        <v>-2694248.2968968973</v>
      </c>
      <c r="X36" s="303"/>
      <c r="Y36" s="258" t="s">
        <v>893</v>
      </c>
      <c r="AA36" s="557"/>
    </row>
    <row r="37" spans="1:27">
      <c r="A37" s="77">
        <v>26.2</v>
      </c>
      <c r="B37" s="126"/>
      <c r="C37" s="80" t="s">
        <v>615</v>
      </c>
      <c r="D37" s="817">
        <v>-3470415.62</v>
      </c>
      <c r="E37" s="817">
        <v>0</v>
      </c>
      <c r="F37" s="817">
        <v>0</v>
      </c>
      <c r="G37" s="817">
        <v>0</v>
      </c>
      <c r="H37" s="817">
        <v>0</v>
      </c>
      <c r="I37" s="817">
        <v>0</v>
      </c>
      <c r="J37" s="817">
        <v>0</v>
      </c>
      <c r="K37" s="817">
        <v>0</v>
      </c>
      <c r="L37" s="817">
        <v>0</v>
      </c>
      <c r="M37" s="817">
        <v>0</v>
      </c>
      <c r="N37" s="817">
        <v>0</v>
      </c>
      <c r="O37" s="817">
        <v>0</v>
      </c>
      <c r="P37" s="817">
        <v>0</v>
      </c>
      <c r="Q37" s="822">
        <f>AVERAGE(D37:P37)</f>
        <v>-266955.04769230768</v>
      </c>
      <c r="R37" s="120" t="s">
        <v>128</v>
      </c>
      <c r="S37" s="345">
        <v>1</v>
      </c>
      <c r="T37" s="819">
        <f>+Q37*S37</f>
        <v>-266955.04769230768</v>
      </c>
      <c r="U37" s="120" t="s">
        <v>132</v>
      </c>
      <c r="V37" s="820">
        <f>+'Exhibit 6'!$D$61</f>
        <v>0.12581649289635913</v>
      </c>
      <c r="W37" s="819">
        <f>+T37*V37</f>
        <v>-33587.34786162644</v>
      </c>
      <c r="X37" s="303"/>
      <c r="Y37" s="258" t="s">
        <v>618</v>
      </c>
      <c r="AA37" s="557"/>
    </row>
    <row r="38" spans="1:27">
      <c r="A38" s="77">
        <v>27</v>
      </c>
      <c r="B38" s="14"/>
      <c r="C38" s="385" t="s">
        <v>126</v>
      </c>
      <c r="D38" s="402"/>
      <c r="E38" s="483"/>
      <c r="F38" s="483"/>
      <c r="G38" s="483"/>
      <c r="H38" s="483"/>
      <c r="I38" s="483"/>
      <c r="J38" s="483"/>
      <c r="K38" s="483"/>
      <c r="L38" s="483"/>
      <c r="M38" s="483"/>
      <c r="N38" s="483"/>
      <c r="O38" s="483"/>
      <c r="P38" s="483"/>
      <c r="Q38" s="389"/>
      <c r="R38" s="390"/>
      <c r="S38" s="391"/>
      <c r="T38" s="389"/>
      <c r="U38" s="390"/>
      <c r="V38" s="391"/>
      <c r="W38" s="828">
        <f>SUM(W34:W37)</f>
        <v>-3054918.8541228632</v>
      </c>
      <c r="X38" s="303"/>
      <c r="Y38" s="258" t="s">
        <v>1202</v>
      </c>
      <c r="AA38" s="557"/>
    </row>
    <row r="39" spans="1:27">
      <c r="A39" s="77">
        <v>28</v>
      </c>
      <c r="B39" s="14"/>
      <c r="C39" s="14"/>
      <c r="D39" s="556"/>
      <c r="E39" s="556"/>
      <c r="F39" s="556"/>
      <c r="G39" s="556"/>
      <c r="H39" s="556"/>
      <c r="I39" s="556"/>
      <c r="J39" s="556"/>
      <c r="K39" s="556"/>
      <c r="L39" s="556"/>
      <c r="M39" s="556"/>
      <c r="N39" s="556"/>
      <c r="O39" s="556"/>
      <c r="P39" s="556"/>
      <c r="Q39" s="303"/>
      <c r="R39" s="303"/>
      <c r="S39" s="345"/>
      <c r="T39" s="303"/>
      <c r="U39" s="120"/>
      <c r="V39" s="345"/>
      <c r="W39" s="303"/>
      <c r="X39" s="303"/>
      <c r="Y39" s="258"/>
      <c r="AA39" s="557"/>
    </row>
    <row r="40" spans="1:27">
      <c r="A40" s="77">
        <v>29</v>
      </c>
      <c r="B40" s="126" t="s">
        <v>594</v>
      </c>
      <c r="C40" s="126"/>
      <c r="D40" s="904">
        <v>3335302.6500000004</v>
      </c>
      <c r="E40" s="904">
        <v>3032404.87</v>
      </c>
      <c r="F40" s="904">
        <v>1920870.74</v>
      </c>
      <c r="G40" s="904">
        <v>1745817.5</v>
      </c>
      <c r="H40" s="904">
        <v>1889981.0199999998</v>
      </c>
      <c r="I40" s="904">
        <v>1893761.44</v>
      </c>
      <c r="J40" s="904">
        <v>2509693.9900000002</v>
      </c>
      <c r="K40" s="904">
        <v>2760688.62</v>
      </c>
      <c r="L40" s="904">
        <v>3854925.8900000006</v>
      </c>
      <c r="M40" s="904">
        <v>3677980.79</v>
      </c>
      <c r="N40" s="904">
        <v>3243759.5700000003</v>
      </c>
      <c r="O40" s="904">
        <v>4660658.21</v>
      </c>
      <c r="P40" s="904">
        <v>4543315.68</v>
      </c>
      <c r="Q40" s="819">
        <f>AVERAGE(D40:P40)</f>
        <v>3005320.0746153845</v>
      </c>
      <c r="R40" s="120" t="s">
        <v>129</v>
      </c>
      <c r="S40" s="820">
        <f>+'Exhibit 6'!D45</f>
        <v>0.16858481770902969</v>
      </c>
      <c r="T40" s="819">
        <f>Q40*S40</f>
        <v>506651.3369363221</v>
      </c>
      <c r="U40" s="120" t="s">
        <v>132</v>
      </c>
      <c r="V40" s="820">
        <f>+'Exhibit 6'!$D$61</f>
        <v>0.12581649289635913</v>
      </c>
      <c r="W40" s="819">
        <f>V40*T40</f>
        <v>63745.094334579626</v>
      </c>
      <c r="X40" s="303"/>
      <c r="Y40" s="258" t="s">
        <v>595</v>
      </c>
      <c r="AA40" s="557"/>
    </row>
    <row r="41" spans="1:27">
      <c r="A41" s="77">
        <v>30</v>
      </c>
      <c r="B41" s="14"/>
      <c r="C41" s="14"/>
      <c r="D41" s="347"/>
      <c r="E41" s="347"/>
      <c r="F41" s="347"/>
      <c r="G41" s="347"/>
      <c r="H41" s="347"/>
      <c r="I41" s="347"/>
      <c r="J41" s="347"/>
      <c r="K41" s="347"/>
      <c r="L41" s="347"/>
      <c r="M41" s="347"/>
      <c r="N41" s="347"/>
      <c r="O41" s="347"/>
      <c r="P41" s="556"/>
      <c r="Q41" s="303"/>
      <c r="R41" s="303"/>
      <c r="S41" s="345"/>
      <c r="T41" s="303"/>
      <c r="U41" s="120"/>
      <c r="V41" s="345"/>
      <c r="W41" s="303"/>
      <c r="X41" s="303"/>
      <c r="Y41" s="258"/>
      <c r="AA41" s="557"/>
    </row>
    <row r="42" spans="1:27">
      <c r="A42" s="77">
        <v>31</v>
      </c>
      <c r="B42" s="126" t="s">
        <v>131</v>
      </c>
      <c r="C42" s="126"/>
      <c r="D42" s="347"/>
      <c r="E42" s="347"/>
      <c r="F42" s="347"/>
      <c r="G42" s="347"/>
      <c r="H42" s="347"/>
      <c r="I42" s="347"/>
      <c r="J42" s="347"/>
      <c r="K42" s="347"/>
      <c r="L42" s="347"/>
      <c r="M42" s="347"/>
      <c r="N42" s="347"/>
      <c r="O42" s="347"/>
      <c r="P42" s="556"/>
      <c r="Q42" s="303"/>
      <c r="R42" s="120"/>
      <c r="S42" s="345"/>
      <c r="T42" s="303"/>
      <c r="U42" s="120"/>
      <c r="V42" s="345"/>
      <c r="W42" s="303"/>
      <c r="X42" s="303"/>
      <c r="Y42" s="258"/>
      <c r="AA42" s="557"/>
    </row>
    <row r="43" spans="1:27">
      <c r="A43" s="77">
        <v>32</v>
      </c>
      <c r="C43" s="258" t="s">
        <v>5</v>
      </c>
      <c r="D43" s="904">
        <v>1301099.7220021493</v>
      </c>
      <c r="E43" s="904">
        <v>1989225.8849597655</v>
      </c>
      <c r="F43" s="904">
        <v>2052569.2777293397</v>
      </c>
      <c r="G43" s="904">
        <v>2046888.5791628102</v>
      </c>
      <c r="H43" s="904">
        <v>2032163.5429902279</v>
      </c>
      <c r="I43" s="904">
        <v>2078088.2917543864</v>
      </c>
      <c r="J43" s="904">
        <v>2045407.5683498555</v>
      </c>
      <c r="K43" s="904">
        <v>2050852.2357293707</v>
      </c>
      <c r="L43" s="904">
        <v>2006148.0407495829</v>
      </c>
      <c r="M43" s="904">
        <v>2027093.4429489912</v>
      </c>
      <c r="N43" s="904">
        <v>2008390.3644381254</v>
      </c>
      <c r="O43" s="904">
        <v>2049295.2939185651</v>
      </c>
      <c r="P43" s="904">
        <v>2018417.9527287916</v>
      </c>
      <c r="Q43" s="819">
        <f>AVERAGE(D43:P43)</f>
        <v>1977356.9382663043</v>
      </c>
      <c r="R43" s="355" t="s">
        <v>129</v>
      </c>
      <c r="S43" s="829">
        <f>+'Exhibit 6'!D45</f>
        <v>0.16858481770902969</v>
      </c>
      <c r="T43" s="366">
        <f>Q43*S43</f>
        <v>333352.35898331</v>
      </c>
      <c r="U43" s="438" t="s">
        <v>130</v>
      </c>
      <c r="V43" s="830">
        <v>1</v>
      </c>
      <c r="W43" s="817">
        <f>V43*T43</f>
        <v>333352.35898331</v>
      </c>
      <c r="X43" s="349"/>
      <c r="Y43" s="80" t="s">
        <v>556</v>
      </c>
      <c r="AA43" s="557"/>
    </row>
    <row r="44" spans="1:27">
      <c r="A44" s="77">
        <v>33</v>
      </c>
      <c r="C44" s="258" t="s">
        <v>9</v>
      </c>
      <c r="D44" s="904">
        <v>260194</v>
      </c>
      <c r="E44" s="904">
        <v>260194</v>
      </c>
      <c r="F44" s="904">
        <v>260194</v>
      </c>
      <c r="G44" s="904">
        <v>260194</v>
      </c>
      <c r="H44" s="904">
        <v>260194</v>
      </c>
      <c r="I44" s="904">
        <v>260194</v>
      </c>
      <c r="J44" s="904">
        <v>260194</v>
      </c>
      <c r="K44" s="904">
        <v>260194</v>
      </c>
      <c r="L44" s="904">
        <v>260194</v>
      </c>
      <c r="M44" s="904">
        <v>260194</v>
      </c>
      <c r="N44" s="904">
        <v>260194</v>
      </c>
      <c r="O44" s="904">
        <v>260194</v>
      </c>
      <c r="P44" s="904">
        <v>260194</v>
      </c>
      <c r="Q44" s="819">
        <f>AVERAGE(D44:P44)</f>
        <v>260194</v>
      </c>
      <c r="R44" s="120" t="s">
        <v>129</v>
      </c>
      <c r="S44" s="820">
        <f>+'Exhibit 6'!D45</f>
        <v>0.16858481770902969</v>
      </c>
      <c r="T44" s="819">
        <f>+Q44*S44</f>
        <v>43864.758058983272</v>
      </c>
      <c r="U44" s="120" t="s">
        <v>7</v>
      </c>
      <c r="V44" s="820">
        <f>+'Exhibit 6'!D51</f>
        <v>0.35896487525725679</v>
      </c>
      <c r="W44" s="819">
        <f>+T44*V44</f>
        <v>15745.90740483268</v>
      </c>
      <c r="X44" s="303"/>
      <c r="Y44" s="80" t="s">
        <v>557</v>
      </c>
      <c r="AA44" s="557"/>
    </row>
    <row r="45" spans="1:27">
      <c r="A45" s="77">
        <v>34</v>
      </c>
      <c r="C45" s="397" t="s">
        <v>126</v>
      </c>
      <c r="D45" s="394"/>
      <c r="E45" s="394"/>
      <c r="F45" s="394"/>
      <c r="G45" s="394"/>
      <c r="H45" s="394"/>
      <c r="I45" s="394"/>
      <c r="J45" s="394"/>
      <c r="K45" s="394"/>
      <c r="L45" s="394"/>
      <c r="M45" s="394"/>
      <c r="N45" s="394"/>
      <c r="O45" s="394"/>
      <c r="P45" s="99"/>
      <c r="Q45" s="389"/>
      <c r="R45" s="390"/>
      <c r="S45" s="391"/>
      <c r="T45" s="389"/>
      <c r="U45" s="390"/>
      <c r="V45" s="391"/>
      <c r="W45" s="821">
        <f>+W43+W44</f>
        <v>349098.26638814266</v>
      </c>
      <c r="X45" s="303"/>
      <c r="Y45" s="258" t="s">
        <v>673</v>
      </c>
      <c r="AA45" s="557"/>
    </row>
    <row r="46" spans="1:27">
      <c r="A46" s="77">
        <v>35</v>
      </c>
      <c r="B46" s="14"/>
      <c r="C46" s="14"/>
      <c r="D46" s="347"/>
      <c r="E46" s="347"/>
      <c r="F46" s="347"/>
      <c r="G46" s="347"/>
      <c r="H46" s="347"/>
      <c r="I46" s="347"/>
      <c r="J46" s="347"/>
      <c r="K46" s="347"/>
      <c r="L46" s="347"/>
      <c r="M46" s="347"/>
      <c r="N46" s="347"/>
      <c r="O46" s="347"/>
      <c r="P46" s="556"/>
      <c r="Q46" s="105"/>
      <c r="R46" s="124"/>
      <c r="S46" s="350"/>
      <c r="T46" s="105"/>
      <c r="U46" s="699"/>
      <c r="V46" s="350"/>
      <c r="W46" s="105"/>
      <c r="X46" s="105"/>
      <c r="Y46" s="252"/>
      <c r="AA46" s="557"/>
    </row>
    <row r="47" spans="1:27">
      <c r="A47" s="77">
        <v>36</v>
      </c>
      <c r="B47" s="162" t="s">
        <v>80</v>
      </c>
      <c r="C47" s="502"/>
      <c r="D47" s="347"/>
      <c r="E47" s="347"/>
      <c r="F47" s="347"/>
      <c r="G47" s="347"/>
      <c r="H47" s="347"/>
      <c r="I47" s="347"/>
      <c r="J47" s="347"/>
      <c r="K47" s="347"/>
      <c r="L47" s="347"/>
      <c r="M47" s="347"/>
      <c r="N47" s="347"/>
      <c r="O47" s="347"/>
      <c r="P47" s="556"/>
      <c r="Q47" s="303"/>
      <c r="R47" s="124"/>
      <c r="S47" s="350"/>
      <c r="T47" s="303"/>
      <c r="U47" s="120"/>
      <c r="V47" s="350"/>
      <c r="W47" s="303"/>
      <c r="X47" s="303"/>
      <c r="Y47" s="258"/>
      <c r="AA47" s="557"/>
    </row>
    <row r="48" spans="1:27">
      <c r="A48" s="77">
        <v>37</v>
      </c>
      <c r="B48" s="14"/>
      <c r="C48" s="14" t="s">
        <v>74</v>
      </c>
      <c r="D48" s="338"/>
      <c r="E48" s="339"/>
      <c r="F48" s="339"/>
      <c r="G48" s="339"/>
      <c r="H48" s="339"/>
      <c r="I48" s="339"/>
      <c r="J48" s="339"/>
      <c r="K48" s="339"/>
      <c r="L48" s="339"/>
      <c r="M48" s="339"/>
      <c r="N48" s="339"/>
      <c r="O48" s="339"/>
      <c r="P48" s="338"/>
      <c r="Q48" s="819">
        <f>+'Exhibit 5'!J31</f>
        <v>934516.11483663891</v>
      </c>
      <c r="R48" s="123" t="s">
        <v>128</v>
      </c>
      <c r="S48" s="345">
        <v>1</v>
      </c>
      <c r="T48" s="819">
        <f>+S48*Q48</f>
        <v>934516.11483663891</v>
      </c>
      <c r="U48" s="122" t="s">
        <v>127</v>
      </c>
      <c r="V48" s="345">
        <v>0.125</v>
      </c>
      <c r="W48" s="819">
        <f>+V48*T48</f>
        <v>116814.51435457986</v>
      </c>
      <c r="X48" s="303"/>
      <c r="Y48" s="258" t="s">
        <v>313</v>
      </c>
      <c r="AA48" s="557"/>
    </row>
    <row r="49" spans="1:27">
      <c r="A49" s="77">
        <v>38</v>
      </c>
      <c r="B49" s="14"/>
      <c r="C49" s="14" t="s">
        <v>73</v>
      </c>
      <c r="D49" s="338"/>
      <c r="E49" s="455"/>
      <c r="F49" s="455"/>
      <c r="G49" s="455"/>
      <c r="H49" s="455"/>
      <c r="I49" s="455"/>
      <c r="J49" s="455"/>
      <c r="K49" s="455"/>
      <c r="L49" s="455"/>
      <c r="M49" s="455"/>
      <c r="N49" s="455"/>
      <c r="O49" s="455"/>
      <c r="P49" s="338"/>
      <c r="Q49" s="819">
        <f>+'Exhibit 5'!J44</f>
        <v>557100.3657930668</v>
      </c>
      <c r="R49" s="123" t="s">
        <v>128</v>
      </c>
      <c r="S49" s="345">
        <f>+S48</f>
        <v>1</v>
      </c>
      <c r="T49" s="819">
        <f>Q49*S49</f>
        <v>557100.3657930668</v>
      </c>
      <c r="U49" s="122" t="s">
        <v>127</v>
      </c>
      <c r="V49" s="345">
        <v>0.125</v>
      </c>
      <c r="W49" s="819">
        <f>V49*T49</f>
        <v>69637.54572413335</v>
      </c>
      <c r="X49" s="303"/>
      <c r="Y49" s="258" t="s">
        <v>329</v>
      </c>
      <c r="AA49" s="557"/>
    </row>
    <row r="50" spans="1:27">
      <c r="A50" s="77">
        <v>39</v>
      </c>
      <c r="C50" s="397" t="s">
        <v>126</v>
      </c>
      <c r="D50" s="393"/>
      <c r="E50" s="393"/>
      <c r="F50" s="393"/>
      <c r="G50" s="393"/>
      <c r="H50" s="393"/>
      <c r="I50" s="393"/>
      <c r="J50" s="393"/>
      <c r="K50" s="393"/>
      <c r="L50" s="393"/>
      <c r="M50" s="393"/>
      <c r="N50" s="393"/>
      <c r="O50" s="393"/>
      <c r="P50" s="395"/>
      <c r="Q50" s="389"/>
      <c r="R50" s="390"/>
      <c r="S50" s="391"/>
      <c r="T50" s="389"/>
      <c r="U50" s="390"/>
      <c r="V50" s="391"/>
      <c r="W50" s="821">
        <f>+W48+W49</f>
        <v>186452.06007871323</v>
      </c>
      <c r="X50" s="303"/>
      <c r="Y50" s="258" t="s">
        <v>674</v>
      </c>
      <c r="AA50" s="557"/>
    </row>
    <row r="51" spans="1:27" s="256" customFormat="1">
      <c r="A51" s="77">
        <v>40</v>
      </c>
      <c r="B51" s="14"/>
      <c r="C51" s="14"/>
      <c r="D51" s="14"/>
      <c r="E51" s="14"/>
      <c r="F51" s="14"/>
      <c r="G51" s="14"/>
      <c r="H51" s="14"/>
      <c r="I51" s="14"/>
      <c r="J51" s="14"/>
      <c r="K51" s="14"/>
      <c r="L51" s="14"/>
      <c r="M51" s="14"/>
      <c r="N51" s="14"/>
      <c r="O51" s="14"/>
      <c r="P51" s="14"/>
      <c r="Q51" s="103"/>
      <c r="R51" s="108"/>
      <c r="S51" s="342"/>
      <c r="T51" s="103"/>
      <c r="U51" s="119"/>
      <c r="V51" s="342"/>
      <c r="W51" s="103"/>
      <c r="X51" s="103"/>
      <c r="Y51" s="258"/>
      <c r="AA51" s="557"/>
    </row>
    <row r="52" spans="1:27" s="256" customFormat="1" ht="15.75" thickBot="1">
      <c r="A52" s="77">
        <v>41</v>
      </c>
      <c r="B52" s="396" t="s">
        <v>300</v>
      </c>
      <c r="C52" s="376"/>
      <c r="D52" s="831"/>
      <c r="E52" s="831"/>
      <c r="F52" s="831"/>
      <c r="G52" s="831"/>
      <c r="H52" s="831"/>
      <c r="I52" s="831"/>
      <c r="J52" s="831"/>
      <c r="K52" s="831"/>
      <c r="L52" s="831"/>
      <c r="M52" s="831"/>
      <c r="N52" s="831"/>
      <c r="O52" s="831"/>
      <c r="P52" s="831"/>
      <c r="Q52" s="832"/>
      <c r="R52" s="832"/>
      <c r="S52" s="833"/>
      <c r="T52" s="832"/>
      <c r="U52" s="834"/>
      <c r="V52" s="833"/>
      <c r="W52" s="932">
        <f>W18+W20+W26+W31+W38+W40+W45+W50</f>
        <v>55826771.019733064</v>
      </c>
      <c r="X52" s="330"/>
      <c r="Y52" s="252" t="s">
        <v>675</v>
      </c>
      <c r="AA52" s="557"/>
    </row>
    <row r="53" spans="1:27" ht="15" thickTop="1"/>
    <row r="54" spans="1:27">
      <c r="A54" s="257" t="s">
        <v>11</v>
      </c>
      <c r="B54" s="257"/>
      <c r="C54" s="257"/>
      <c r="D54" s="257"/>
      <c r="E54" s="257"/>
      <c r="F54" s="257"/>
      <c r="G54" s="257"/>
      <c r="H54" s="95"/>
      <c r="I54" s="95"/>
      <c r="J54" s="95"/>
      <c r="K54" s="95"/>
      <c r="L54" s="95"/>
      <c r="M54" s="95"/>
      <c r="N54" s="95"/>
      <c r="O54" s="95"/>
      <c r="P54" s="95"/>
      <c r="Q54" s="95"/>
      <c r="R54" s="95"/>
      <c r="S54" s="447"/>
      <c r="T54" s="95"/>
      <c r="U54" s="257"/>
      <c r="V54" s="447"/>
      <c r="W54" s="95"/>
      <c r="X54" s="257"/>
      <c r="Y54" s="257"/>
    </row>
    <row r="55" spans="1:27">
      <c r="A55" s="253">
        <v>1</v>
      </c>
      <c r="B55" s="256" t="s">
        <v>553</v>
      </c>
      <c r="D55" s="256"/>
      <c r="E55" s="256"/>
      <c r="F55" s="256"/>
      <c r="G55" s="256"/>
    </row>
    <row r="59" spans="1:27">
      <c r="D59" s="537"/>
      <c r="E59" s="537"/>
      <c r="F59" s="537"/>
      <c r="G59" s="537"/>
      <c r="H59" s="537"/>
      <c r="I59" s="537"/>
      <c r="J59" s="537"/>
      <c r="K59" s="537"/>
      <c r="L59" s="537"/>
      <c r="M59" s="537"/>
      <c r="N59" s="537"/>
      <c r="O59" s="537"/>
      <c r="P59" s="537"/>
    </row>
    <row r="60" spans="1:27">
      <c r="D60" s="537"/>
      <c r="E60" s="537"/>
      <c r="F60" s="537"/>
      <c r="G60" s="537"/>
      <c r="H60" s="537"/>
      <c r="I60" s="537"/>
      <c r="J60" s="537"/>
      <c r="K60" s="537"/>
      <c r="L60" s="537"/>
      <c r="M60" s="537"/>
      <c r="N60" s="537"/>
      <c r="O60" s="537"/>
      <c r="P60" s="537"/>
    </row>
    <row r="61" spans="1:27">
      <c r="E61" s="926"/>
      <c r="F61" s="926"/>
      <c r="G61" s="926"/>
      <c r="H61" s="926"/>
      <c r="I61" s="926"/>
      <c r="J61" s="926"/>
      <c r="K61" s="926"/>
      <c r="L61" s="926"/>
      <c r="M61" s="926"/>
      <c r="N61" s="926"/>
      <c r="O61" s="926"/>
      <c r="P61" s="926"/>
    </row>
  </sheetData>
  <mergeCells count="6">
    <mergeCell ref="R6:S6"/>
    <mergeCell ref="U6:V6"/>
    <mergeCell ref="R8:S8"/>
    <mergeCell ref="U8:V8"/>
    <mergeCell ref="R9:S9"/>
    <mergeCell ref="U9:V9"/>
  </mergeCells>
  <pageMargins left="0.5" right="0.5" top="0.5" bottom="0.5" header="0" footer="0"/>
  <pageSetup paperSize="5"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62"/>
  <sheetViews>
    <sheetView view="pageBreakPreview" topLeftCell="A4" zoomScale="81" zoomScaleNormal="85" zoomScaleSheetLayoutView="81" workbookViewId="0"/>
  </sheetViews>
  <sheetFormatPr defaultColWidth="8.88671875" defaultRowHeight="14.25"/>
  <cols>
    <col min="1" max="1" width="4.21875" style="255" customWidth="1"/>
    <col min="2" max="2" width="3.77734375" style="256" customWidth="1"/>
    <col min="3" max="3" width="55.44140625" style="256" customWidth="1"/>
    <col min="4" max="4" width="12.21875" style="255" customWidth="1"/>
    <col min="5" max="5" width="14" style="255" customWidth="1"/>
    <col min="6" max="6" width="9.77734375" style="255" customWidth="1"/>
    <col min="7" max="7" width="12.21875" style="255" customWidth="1"/>
    <col min="8" max="8" width="17.44140625" style="256" customWidth="1"/>
    <col min="9" max="9" width="9.109375" style="255" bestFit="1" customWidth="1"/>
    <col min="10" max="10" width="15.109375" style="255" customWidth="1"/>
    <col min="11" max="11" width="2.44140625" style="256" customWidth="1"/>
    <col min="12" max="12" width="50.21875" style="256" bestFit="1" customWidth="1"/>
    <col min="13" max="13" width="11.33203125" style="255" bestFit="1" customWidth="1"/>
    <col min="14" max="14" width="11.77734375" style="255" customWidth="1"/>
    <col min="15" max="16384" width="8.88671875" style="255"/>
  </cols>
  <sheetData>
    <row r="1" spans="1:14" ht="15">
      <c r="A1" s="259" t="str">
        <f>'Exhibit 1a'!A1</f>
        <v>VERSANT POWER – MAINE PUBLIC DISTRICT OATT</v>
      </c>
      <c r="B1" s="80"/>
      <c r="D1" s="14"/>
      <c r="E1" s="15"/>
      <c r="F1" s="118"/>
      <c r="G1" s="14"/>
      <c r="H1" s="15"/>
      <c r="I1" s="118"/>
      <c r="J1" s="108"/>
      <c r="K1" s="108"/>
      <c r="L1" s="94" t="s">
        <v>48</v>
      </c>
    </row>
    <row r="2" spans="1:14" ht="15">
      <c r="A2" s="259" t="str">
        <f>'Exhibit 1a'!A2</f>
        <v>ATTACHMENT J FORMULA RATES</v>
      </c>
      <c r="B2" s="80"/>
      <c r="C2" s="80"/>
      <c r="D2" s="14"/>
      <c r="E2" s="15"/>
      <c r="F2" s="118"/>
      <c r="G2" s="14"/>
      <c r="H2" s="15"/>
      <c r="I2" s="118"/>
      <c r="J2" s="108"/>
      <c r="K2" s="108"/>
      <c r="L2" s="93" t="s">
        <v>172</v>
      </c>
    </row>
    <row r="3" spans="1:14" ht="15">
      <c r="A3" s="259" t="str">
        <f>'Exhibit 1a'!A3</f>
        <v>RATE YEAR JUNE 1, 2020 TO MAY 31, 2021</v>
      </c>
      <c r="B3" s="80"/>
      <c r="C3" s="80"/>
      <c r="D3" s="14"/>
      <c r="E3" s="265"/>
      <c r="F3" s="118"/>
      <c r="G3" s="14"/>
      <c r="H3" s="15"/>
      <c r="I3" s="118"/>
      <c r="J3" s="108"/>
      <c r="K3" s="114"/>
      <c r="L3" s="76"/>
    </row>
    <row r="4" spans="1:14" s="256" customFormat="1" ht="15">
      <c r="A4" s="259" t="str">
        <f>'Exhibit 1a'!A4</f>
        <v>Actual ATRR &amp; CHARGES BASED ON ACTUAL CY 2020 VALUES</v>
      </c>
      <c r="B4" s="80"/>
      <c r="C4" s="80"/>
      <c r="D4" s="14"/>
      <c r="E4" s="265"/>
      <c r="F4" s="118"/>
      <c r="G4" s="14"/>
      <c r="H4" s="15"/>
      <c r="I4" s="118"/>
      <c r="J4" s="108"/>
      <c r="K4" s="114"/>
      <c r="L4" s="76"/>
    </row>
    <row r="5" spans="1:14" ht="15">
      <c r="A5" s="275"/>
      <c r="B5" s="143"/>
      <c r="C5" s="143"/>
      <c r="D5" s="143"/>
      <c r="E5" s="27"/>
      <c r="F5" s="145"/>
      <c r="G5" s="143"/>
      <c r="H5" s="15"/>
      <c r="I5" s="145"/>
      <c r="J5" s="144"/>
      <c r="K5" s="114"/>
      <c r="L5" s="143"/>
    </row>
    <row r="6" spans="1:14" ht="15">
      <c r="A6" s="142" t="s">
        <v>171</v>
      </c>
      <c r="B6" s="80"/>
      <c r="C6" s="80"/>
      <c r="D6" s="91" t="s">
        <v>66</v>
      </c>
      <c r="E6" s="941" t="s">
        <v>43</v>
      </c>
      <c r="F6" s="941"/>
      <c r="G6" s="91" t="s">
        <v>146</v>
      </c>
      <c r="H6" s="941" t="s">
        <v>64</v>
      </c>
      <c r="I6" s="941"/>
      <c r="J6" s="91" t="s">
        <v>145</v>
      </c>
      <c r="K6" s="91"/>
      <c r="L6" s="14"/>
    </row>
    <row r="7" spans="1:14" ht="15">
      <c r="A7" s="76"/>
      <c r="B7" s="80"/>
      <c r="C7" s="80"/>
      <c r="D7" s="108"/>
      <c r="E7" s="114"/>
      <c r="F7" s="118"/>
      <c r="G7" s="108"/>
      <c r="H7" s="15"/>
      <c r="I7" s="128"/>
      <c r="J7" s="91"/>
      <c r="K7" s="108"/>
    </row>
    <row r="8" spans="1:14" ht="15">
      <c r="A8" s="566"/>
      <c r="B8" s="130"/>
      <c r="C8" s="130"/>
      <c r="D8" s="91" t="s">
        <v>141</v>
      </c>
      <c r="E8" s="942" t="s">
        <v>144</v>
      </c>
      <c r="F8" s="942"/>
      <c r="G8" s="127"/>
      <c r="H8" s="942" t="s">
        <v>143</v>
      </c>
      <c r="I8" s="942"/>
      <c r="J8" s="112" t="s">
        <v>128</v>
      </c>
      <c r="K8" s="127"/>
      <c r="L8" s="27"/>
    </row>
    <row r="9" spans="1:14" ht="15">
      <c r="A9" s="567" t="s">
        <v>142</v>
      </c>
      <c r="B9" s="24"/>
      <c r="C9" s="24"/>
      <c r="D9" s="89" t="s">
        <v>339</v>
      </c>
      <c r="E9" s="943" t="s">
        <v>140</v>
      </c>
      <c r="F9" s="943"/>
      <c r="G9" s="89" t="s">
        <v>128</v>
      </c>
      <c r="H9" s="943" t="s">
        <v>140</v>
      </c>
      <c r="I9" s="943"/>
      <c r="J9" s="89" t="s">
        <v>3</v>
      </c>
      <c r="K9" s="89"/>
      <c r="L9" s="567" t="s">
        <v>25</v>
      </c>
    </row>
    <row r="10" spans="1:14">
      <c r="A10" s="256"/>
      <c r="B10" s="138"/>
      <c r="C10" s="138"/>
      <c r="D10" s="14"/>
      <c r="E10" s="15"/>
      <c r="F10" s="118"/>
      <c r="G10" s="14"/>
      <c r="H10" s="15"/>
      <c r="I10" s="118"/>
      <c r="J10" s="108"/>
      <c r="K10" s="108"/>
      <c r="L10" s="258"/>
    </row>
    <row r="11" spans="1:14">
      <c r="A11" s="15">
        <v>1</v>
      </c>
      <c r="B11" s="138" t="s">
        <v>690</v>
      </c>
      <c r="C11" s="138"/>
      <c r="D11" s="14"/>
      <c r="E11" s="15"/>
      <c r="F11" s="118"/>
      <c r="G11" s="14"/>
      <c r="H11" s="15"/>
      <c r="I11" s="118"/>
      <c r="J11" s="108"/>
      <c r="K11" s="303"/>
      <c r="L11" s="258"/>
      <c r="N11" s="556"/>
    </row>
    <row r="12" spans="1:14">
      <c r="A12" s="77">
        <v>2</v>
      </c>
      <c r="B12" s="136"/>
      <c r="C12" s="80" t="s">
        <v>170</v>
      </c>
      <c r="D12" s="902">
        <f>1675451.85-'WP Transaction Costs'!H15+'WP Line 6901 Adjustments'!$C$19</f>
        <v>1655975.9745336</v>
      </c>
      <c r="E12" s="119" t="s">
        <v>128</v>
      </c>
      <c r="F12" s="118">
        <v>1</v>
      </c>
      <c r="G12" s="273">
        <f>D12*F12</f>
        <v>1655975.9745336</v>
      </c>
      <c r="H12" s="120" t="s">
        <v>130</v>
      </c>
      <c r="I12" s="147">
        <v>1</v>
      </c>
      <c r="J12" s="273">
        <f>G12*I12</f>
        <v>1655975.9745336</v>
      </c>
      <c r="K12" s="303"/>
      <c r="L12" s="258" t="s">
        <v>692</v>
      </c>
      <c r="M12" s="537"/>
      <c r="N12" s="556"/>
    </row>
    <row r="13" spans="1:14">
      <c r="A13" s="77">
        <v>3</v>
      </c>
      <c r="B13" s="136"/>
      <c r="C13" s="80" t="s">
        <v>691</v>
      </c>
      <c r="D13" s="902">
        <f>761114.77-'WP Transaction Costs'!H22</f>
        <v>741584.04025000008</v>
      </c>
      <c r="E13" s="119" t="s">
        <v>128</v>
      </c>
      <c r="F13" s="118">
        <v>1</v>
      </c>
      <c r="G13" s="273">
        <f>D13*F13</f>
        <v>741584.04025000008</v>
      </c>
      <c r="H13" s="119" t="s">
        <v>132</v>
      </c>
      <c r="I13" s="836">
        <f>+'Exhibit 6'!D61</f>
        <v>0.12581649289635913</v>
      </c>
      <c r="J13" s="273">
        <f>G13*I13</f>
        <v>93303.503132167432</v>
      </c>
      <c r="K13" s="303"/>
      <c r="L13" s="258" t="s">
        <v>693</v>
      </c>
      <c r="M13" s="537"/>
      <c r="N13" s="556"/>
    </row>
    <row r="14" spans="1:14">
      <c r="A14" s="77">
        <v>4</v>
      </c>
      <c r="B14" s="136"/>
      <c r="C14" s="80" t="s">
        <v>666</v>
      </c>
      <c r="D14" s="902">
        <f>242089-'WP Transaction Costs'!H20</f>
        <v>242089</v>
      </c>
      <c r="E14" s="119" t="s">
        <v>128</v>
      </c>
      <c r="F14" s="118">
        <v>1</v>
      </c>
      <c r="G14" s="273">
        <f>D14*F14</f>
        <v>242089</v>
      </c>
      <c r="H14" s="119" t="s">
        <v>132</v>
      </c>
      <c r="I14" s="836">
        <f>+'Exhibit 6'!D61</f>
        <v>0.12581649289635913</v>
      </c>
      <c r="J14" s="273">
        <f>G14*I14</f>
        <v>30458.788948786685</v>
      </c>
      <c r="K14" s="303"/>
      <c r="L14" s="258" t="s">
        <v>694</v>
      </c>
      <c r="M14" s="537"/>
      <c r="N14" s="556"/>
    </row>
    <row r="15" spans="1:14">
      <c r="A15" s="77">
        <v>5</v>
      </c>
      <c r="B15" s="138"/>
      <c r="C15" s="397" t="s">
        <v>126</v>
      </c>
      <c r="D15" s="389"/>
      <c r="E15" s="390"/>
      <c r="F15" s="398"/>
      <c r="G15" s="389"/>
      <c r="H15" s="390"/>
      <c r="I15" s="398"/>
      <c r="J15" s="821">
        <f>SUM(J12:J14)</f>
        <v>1779738.2666145542</v>
      </c>
      <c r="K15" s="303"/>
      <c r="L15" s="258" t="s">
        <v>411</v>
      </c>
    </row>
    <row r="16" spans="1:14" s="256" customFormat="1">
      <c r="A16" s="77">
        <v>6.1</v>
      </c>
      <c r="B16" s="80"/>
      <c r="C16" s="80"/>
      <c r="D16" s="14"/>
      <c r="E16" s="15"/>
      <c r="F16" s="118"/>
      <c r="G16" s="14"/>
      <c r="H16" s="15"/>
      <c r="I16" s="118"/>
      <c r="J16" s="108"/>
      <c r="K16" s="303"/>
      <c r="L16" s="258"/>
    </row>
    <row r="17" spans="1:13">
      <c r="A17" s="77">
        <v>6.2</v>
      </c>
      <c r="B17" s="510" t="s">
        <v>745</v>
      </c>
      <c r="C17" s="80"/>
      <c r="D17" s="108"/>
      <c r="E17" s="119"/>
      <c r="F17" s="118"/>
      <c r="G17" s="108"/>
      <c r="H17" s="120"/>
      <c r="I17" s="147"/>
      <c r="J17" s="108"/>
      <c r="K17" s="303"/>
      <c r="L17" s="258"/>
    </row>
    <row r="18" spans="1:13" s="256" customFormat="1">
      <c r="A18" s="77">
        <v>6.3</v>
      </c>
      <c r="B18" s="80"/>
      <c r="C18" s="80" t="s">
        <v>858</v>
      </c>
      <c r="D18" s="835">
        <f>'WP EADIT Amortization'!I16</f>
        <v>-149307.56250023292</v>
      </c>
      <c r="E18" s="119" t="s">
        <v>128</v>
      </c>
      <c r="F18" s="118">
        <v>1</v>
      </c>
      <c r="G18" s="273">
        <f>D18*F18</f>
        <v>-149307.56250023292</v>
      </c>
      <c r="H18" s="120" t="s">
        <v>130</v>
      </c>
      <c r="I18" s="539">
        <v>1</v>
      </c>
      <c r="J18" s="273">
        <f>G18*I18</f>
        <v>-149307.56250023292</v>
      </c>
      <c r="K18" s="303"/>
      <c r="L18" s="258" t="s">
        <v>1205</v>
      </c>
    </row>
    <row r="19" spans="1:13" s="256" customFormat="1">
      <c r="A19" s="77">
        <v>6.4</v>
      </c>
      <c r="B19" s="80"/>
      <c r="C19" s="80" t="s">
        <v>859</v>
      </c>
      <c r="D19" s="14"/>
      <c r="E19" s="15"/>
      <c r="F19" s="118"/>
      <c r="G19" s="14"/>
      <c r="H19" s="15"/>
      <c r="I19" s="118"/>
      <c r="J19" s="837">
        <f>1-((1-'Exhibit 3'!J56)*(1-'Exhibit 3'!J66))</f>
        <v>0.28054699999999999</v>
      </c>
      <c r="K19" s="303"/>
      <c r="L19" s="258" t="s">
        <v>860</v>
      </c>
    </row>
    <row r="20" spans="1:13" s="256" customFormat="1">
      <c r="A20" s="77">
        <v>6.5</v>
      </c>
      <c r="B20" s="80"/>
      <c r="C20" s="399" t="s">
        <v>861</v>
      </c>
      <c r="D20" s="385"/>
      <c r="E20" s="540"/>
      <c r="F20" s="398"/>
      <c r="G20" s="385"/>
      <c r="H20" s="540"/>
      <c r="I20" s="398"/>
      <c r="J20" s="828">
        <f>J18/(1-J19)</f>
        <v>-207529.27918881833</v>
      </c>
      <c r="K20" s="303"/>
      <c r="L20" s="258" t="s">
        <v>862</v>
      </c>
    </row>
    <row r="21" spans="1:13" s="256" customFormat="1">
      <c r="A21" s="77">
        <v>6.6</v>
      </c>
      <c r="B21" s="80"/>
      <c r="C21" s="80"/>
      <c r="D21" s="14"/>
      <c r="E21" s="15"/>
      <c r="F21" s="118"/>
      <c r="G21" s="14"/>
      <c r="H21" s="15"/>
      <c r="I21" s="118"/>
      <c r="J21" s="108"/>
      <c r="K21" s="303"/>
      <c r="L21" s="258"/>
    </row>
    <row r="22" spans="1:13">
      <c r="A22" s="77">
        <v>7</v>
      </c>
      <c r="B22" s="138" t="s">
        <v>169</v>
      </c>
      <c r="C22" s="138"/>
      <c r="D22" s="273">
        <v>0</v>
      </c>
      <c r="E22" s="119" t="s">
        <v>128</v>
      </c>
      <c r="F22" s="118">
        <v>1</v>
      </c>
      <c r="G22" s="273">
        <f>D22*F22</f>
        <v>0</v>
      </c>
      <c r="H22" s="133" t="s">
        <v>7</v>
      </c>
      <c r="I22" s="836">
        <f>+'Exhibit 6'!D51</f>
        <v>0.35896487525725679</v>
      </c>
      <c r="J22" s="273">
        <f>G22*I22</f>
        <v>0</v>
      </c>
      <c r="K22" s="303"/>
      <c r="L22" s="258" t="s">
        <v>168</v>
      </c>
    </row>
    <row r="23" spans="1:13">
      <c r="A23" s="77">
        <v>8</v>
      </c>
      <c r="B23" s="80"/>
      <c r="C23" s="80"/>
      <c r="D23" s="140"/>
      <c r="E23" s="139"/>
      <c r="F23" s="103"/>
      <c r="G23" s="140"/>
      <c r="H23" s="139"/>
      <c r="I23" s="118"/>
      <c r="J23" s="303"/>
      <c r="K23" s="303"/>
      <c r="L23" s="258"/>
    </row>
    <row r="24" spans="1:13">
      <c r="A24" s="77">
        <v>9</v>
      </c>
      <c r="B24" s="138" t="s">
        <v>167</v>
      </c>
      <c r="C24" s="80"/>
      <c r="D24" s="902">
        <v>15889583.4</v>
      </c>
      <c r="E24" s="133" t="s">
        <v>129</v>
      </c>
      <c r="F24" s="836">
        <f>+'Exhibit 6'!D45</f>
        <v>0.16858481770902969</v>
      </c>
      <c r="G24" s="273">
        <f>D24*F24</f>
        <v>2678742.5209614243</v>
      </c>
      <c r="H24" s="133" t="s">
        <v>7</v>
      </c>
      <c r="I24" s="836">
        <f>+'Exhibit 6'!D51</f>
        <v>0.35896487525725679</v>
      </c>
      <c r="J24" s="273">
        <f>G24*I24</f>
        <v>961574.47488322726</v>
      </c>
      <c r="K24" s="303"/>
      <c r="L24" s="258" t="s">
        <v>164</v>
      </c>
      <c r="M24" s="256"/>
    </row>
    <row r="25" spans="1:13">
      <c r="A25" s="77">
        <v>10</v>
      </c>
      <c r="B25" s="80"/>
      <c r="C25" s="80"/>
      <c r="D25" s="134"/>
      <c r="E25" s="133"/>
      <c r="F25" s="118"/>
      <c r="G25" s="134"/>
      <c r="H25" s="133"/>
      <c r="I25" s="137"/>
      <c r="J25" s="303"/>
      <c r="K25" s="303"/>
      <c r="L25" s="258"/>
      <c r="M25" s="256"/>
    </row>
    <row r="26" spans="1:13">
      <c r="A26" s="77">
        <v>11</v>
      </c>
      <c r="B26" s="138" t="s">
        <v>166</v>
      </c>
      <c r="C26" s="138"/>
      <c r="D26" s="907">
        <v>3008233.6999999997</v>
      </c>
      <c r="E26" s="139" t="s">
        <v>165</v>
      </c>
      <c r="F26" s="838">
        <f>+'Exhibit 6'!$D$18</f>
        <v>0.25442053303801532</v>
      </c>
      <c r="G26" s="273">
        <f>D26*F26</f>
        <v>765356.42145692103</v>
      </c>
      <c r="H26" s="119" t="s">
        <v>132</v>
      </c>
      <c r="I26" s="836">
        <f>+'Exhibit 6'!D61</f>
        <v>0.12581649289635913</v>
      </c>
      <c r="J26" s="273">
        <f>G26*I26</f>
        <v>96294.460763417548</v>
      </c>
      <c r="K26" s="303"/>
      <c r="L26" s="258" t="s">
        <v>164</v>
      </c>
      <c r="M26" s="256"/>
    </row>
    <row r="27" spans="1:13">
      <c r="A27" s="77">
        <v>12</v>
      </c>
      <c r="B27" s="80"/>
      <c r="C27" s="80"/>
      <c r="D27" s="134"/>
      <c r="E27" s="133"/>
      <c r="F27" s="118"/>
      <c r="G27" s="134"/>
      <c r="H27" s="133"/>
      <c r="I27" s="137"/>
      <c r="J27" s="303"/>
      <c r="K27" s="303"/>
      <c r="L27" s="258"/>
      <c r="M27" s="256"/>
    </row>
    <row r="28" spans="1:13">
      <c r="A28" s="77">
        <v>13</v>
      </c>
      <c r="B28" s="138" t="s">
        <v>562</v>
      </c>
      <c r="C28" s="80"/>
      <c r="D28" s="134"/>
      <c r="E28" s="133"/>
      <c r="F28" s="118"/>
      <c r="G28" s="134"/>
      <c r="H28" s="133"/>
      <c r="I28" s="137"/>
      <c r="J28" s="303"/>
      <c r="K28" s="303"/>
      <c r="L28" s="258"/>
    </row>
    <row r="29" spans="1:13">
      <c r="A29" s="77">
        <v>14</v>
      </c>
      <c r="B29" s="136"/>
      <c r="C29" s="80" t="s">
        <v>560</v>
      </c>
      <c r="D29" s="907">
        <v>1716854.2348366389</v>
      </c>
      <c r="E29" s="119" t="s">
        <v>128</v>
      </c>
      <c r="F29" s="839">
        <v>1</v>
      </c>
      <c r="G29" s="273">
        <f>D29*F29</f>
        <v>1716854.2348366389</v>
      </c>
      <c r="H29" s="120" t="s">
        <v>130</v>
      </c>
      <c r="I29" s="147">
        <v>1</v>
      </c>
      <c r="J29" s="273">
        <f>G29*I29</f>
        <v>1716854.2348366389</v>
      </c>
      <c r="K29" s="303"/>
      <c r="L29" s="258" t="s">
        <v>561</v>
      </c>
    </row>
    <row r="30" spans="1:13">
      <c r="A30" s="77">
        <v>15</v>
      </c>
      <c r="B30" s="136"/>
      <c r="C30" s="80" t="s">
        <v>163</v>
      </c>
      <c r="D30" s="835">
        <f>-'Exhibit 10'!D10</f>
        <v>-782338.12</v>
      </c>
      <c r="E30" s="119" t="s">
        <v>128</v>
      </c>
      <c r="F30" s="839">
        <v>1</v>
      </c>
      <c r="G30" s="273">
        <f>D30*F30</f>
        <v>-782338.12</v>
      </c>
      <c r="H30" s="120" t="s">
        <v>130</v>
      </c>
      <c r="I30" s="147">
        <v>1</v>
      </c>
      <c r="J30" s="273">
        <f>G30*I30</f>
        <v>-782338.12</v>
      </c>
      <c r="K30" s="303"/>
      <c r="L30" s="258" t="s">
        <v>610</v>
      </c>
    </row>
    <row r="31" spans="1:13">
      <c r="A31" s="77">
        <v>16</v>
      </c>
      <c r="B31" s="138"/>
      <c r="C31" s="399" t="s">
        <v>126</v>
      </c>
      <c r="D31" s="400"/>
      <c r="E31" s="401"/>
      <c r="F31" s="398"/>
      <c r="G31" s="400"/>
      <c r="H31" s="401"/>
      <c r="I31" s="398"/>
      <c r="J31" s="821">
        <f>SUM(J29:J30)</f>
        <v>934516.11483663891</v>
      </c>
      <c r="K31" s="303"/>
      <c r="L31" s="258" t="s">
        <v>314</v>
      </c>
    </row>
    <row r="32" spans="1:13">
      <c r="A32" s="77">
        <v>17</v>
      </c>
      <c r="B32" s="136"/>
      <c r="C32" s="138"/>
      <c r="D32" s="134"/>
      <c r="E32" s="133"/>
      <c r="F32" s="118"/>
      <c r="G32" s="134"/>
      <c r="H32" s="133"/>
      <c r="I32" s="137"/>
      <c r="J32" s="303"/>
      <c r="K32" s="303"/>
      <c r="L32" s="258"/>
    </row>
    <row r="33" spans="1:15">
      <c r="A33" s="77">
        <v>18</v>
      </c>
      <c r="B33" s="135" t="s">
        <v>162</v>
      </c>
      <c r="C33" s="138"/>
      <c r="D33" s="134"/>
      <c r="E33" s="133"/>
      <c r="F33" s="118"/>
      <c r="G33" s="134"/>
      <c r="H33" s="133"/>
      <c r="I33" s="137"/>
      <c r="J33" s="303"/>
      <c r="K33" s="303"/>
      <c r="L33" s="258"/>
    </row>
    <row r="34" spans="1:15">
      <c r="A34" s="77">
        <v>19</v>
      </c>
      <c r="C34" s="80" t="s">
        <v>161</v>
      </c>
      <c r="D34" s="902">
        <f>12908766</f>
        <v>12908766</v>
      </c>
      <c r="E34" s="133" t="s">
        <v>158</v>
      </c>
      <c r="F34" s="836">
        <f>+'Exhibit 6'!D21</f>
        <v>0.2394557621616869</v>
      </c>
      <c r="G34" s="273">
        <f t="shared" ref="G34:G43" si="0">D34*F34</f>
        <v>3091078.4010968702</v>
      </c>
      <c r="H34" s="119" t="s">
        <v>132</v>
      </c>
      <c r="I34" s="836">
        <f>+'Exhibit 6'!D61</f>
        <v>0.12581649289635913</v>
      </c>
      <c r="J34" s="273">
        <f t="shared" ref="J34:J43" si="1">G34*I34</f>
        <v>388908.64369369351</v>
      </c>
      <c r="K34" s="303"/>
      <c r="L34" s="258" t="s">
        <v>160</v>
      </c>
    </row>
    <row r="35" spans="1:15">
      <c r="A35" s="77">
        <v>20</v>
      </c>
      <c r="C35" s="80" t="s">
        <v>558</v>
      </c>
      <c r="D35" s="902">
        <v>-4732718.8800000008</v>
      </c>
      <c r="E35" s="133" t="s">
        <v>158</v>
      </c>
      <c r="F35" s="836">
        <f>+'Exhibit 6'!D21</f>
        <v>0.2394557621616869</v>
      </c>
      <c r="G35" s="273">
        <f t="shared" si="0"/>
        <v>-1133276.8065074054</v>
      </c>
      <c r="H35" s="119" t="s">
        <v>132</v>
      </c>
      <c r="I35" s="836">
        <f>+'Exhibit 6'!D61</f>
        <v>0.12581649289635913</v>
      </c>
      <c r="J35" s="273">
        <f t="shared" si="1"/>
        <v>-142584.91327554753</v>
      </c>
      <c r="K35" s="303"/>
      <c r="L35" s="258" t="s">
        <v>315</v>
      </c>
    </row>
    <row r="36" spans="1:15">
      <c r="A36" s="77">
        <v>21</v>
      </c>
      <c r="C36" s="80" t="s">
        <v>159</v>
      </c>
      <c r="D36" s="902">
        <v>0</v>
      </c>
      <c r="E36" s="133" t="s">
        <v>158</v>
      </c>
      <c r="F36" s="836">
        <f>+'Exhibit 6'!D21</f>
        <v>0.2394557621616869</v>
      </c>
      <c r="G36" s="273">
        <f t="shared" si="0"/>
        <v>0</v>
      </c>
      <c r="H36" s="119" t="s">
        <v>132</v>
      </c>
      <c r="I36" s="836">
        <f>+'Exhibit 6'!D61</f>
        <v>0.12581649289635913</v>
      </c>
      <c r="J36" s="273">
        <f t="shared" si="1"/>
        <v>0</v>
      </c>
      <c r="K36" s="303"/>
      <c r="L36" s="258" t="s">
        <v>559</v>
      </c>
    </row>
    <row r="37" spans="1:15">
      <c r="A37" s="77">
        <v>22</v>
      </c>
      <c r="C37" s="80" t="s">
        <v>326</v>
      </c>
      <c r="D37" s="835">
        <v>-386335</v>
      </c>
      <c r="E37" s="133" t="s">
        <v>128</v>
      </c>
      <c r="F37" s="118">
        <v>1</v>
      </c>
      <c r="G37" s="273">
        <f t="shared" si="0"/>
        <v>-386335</v>
      </c>
      <c r="H37" s="119" t="s">
        <v>132</v>
      </c>
      <c r="I37" s="836">
        <f>+'Exhibit 6'!D61</f>
        <v>0.12581649289635913</v>
      </c>
      <c r="J37" s="273">
        <f t="shared" si="1"/>
        <v>-48607.314783114904</v>
      </c>
      <c r="K37" s="303"/>
      <c r="L37" s="258" t="s">
        <v>150</v>
      </c>
    </row>
    <row r="38" spans="1:15">
      <c r="A38" s="77">
        <v>23</v>
      </c>
      <c r="C38" s="80" t="s">
        <v>157</v>
      </c>
      <c r="D38" s="902">
        <v>791830.10000000009</v>
      </c>
      <c r="E38" s="133" t="s">
        <v>129</v>
      </c>
      <c r="F38" s="836">
        <f>+'Exhibit 6'!D45</f>
        <v>0.16858481770902969</v>
      </c>
      <c r="G38" s="273">
        <f t="shared" si="0"/>
        <v>133490.53306502276</v>
      </c>
      <c r="H38" s="133" t="s">
        <v>7</v>
      </c>
      <c r="I38" s="836">
        <f>+'Exhibit 6'!$D$51</f>
        <v>0.35896487525725679</v>
      </c>
      <c r="J38" s="273">
        <f t="shared" si="1"/>
        <v>47918.412549710607</v>
      </c>
      <c r="K38" s="303"/>
      <c r="L38" s="258" t="s">
        <v>156</v>
      </c>
    </row>
    <row r="39" spans="1:15">
      <c r="A39" s="77">
        <v>24</v>
      </c>
      <c r="C39" s="80" t="s">
        <v>155</v>
      </c>
      <c r="D39" s="902">
        <v>-1551</v>
      </c>
      <c r="E39" s="119" t="s">
        <v>128</v>
      </c>
      <c r="F39" s="118">
        <v>1</v>
      </c>
      <c r="G39" s="273">
        <f t="shared" si="0"/>
        <v>-1551</v>
      </c>
      <c r="H39" s="120" t="s">
        <v>130</v>
      </c>
      <c r="I39" s="147">
        <v>1</v>
      </c>
      <c r="J39" s="273">
        <f t="shared" si="1"/>
        <v>-1551</v>
      </c>
      <c r="K39" s="303"/>
      <c r="L39" s="258" t="s">
        <v>153</v>
      </c>
    </row>
    <row r="40" spans="1:15">
      <c r="A40" s="77">
        <v>25</v>
      </c>
      <c r="C40" s="80" t="s">
        <v>154</v>
      </c>
      <c r="D40" s="902">
        <v>315617.03870000003</v>
      </c>
      <c r="E40" s="119" t="s">
        <v>128</v>
      </c>
      <c r="F40" s="118">
        <v>1</v>
      </c>
      <c r="G40" s="273">
        <f t="shared" si="0"/>
        <v>315617.03870000003</v>
      </c>
      <c r="H40" s="120" t="s">
        <v>130</v>
      </c>
      <c r="I40" s="118">
        <v>1</v>
      </c>
      <c r="J40" s="273">
        <f t="shared" si="1"/>
        <v>315617.03870000003</v>
      </c>
      <c r="K40" s="303"/>
      <c r="L40" s="258" t="s">
        <v>153</v>
      </c>
    </row>
    <row r="41" spans="1:15">
      <c r="A41" s="77">
        <v>26</v>
      </c>
      <c r="B41" s="136"/>
      <c r="C41" s="80" t="s">
        <v>152</v>
      </c>
      <c r="D41" s="902">
        <v>0</v>
      </c>
      <c r="E41" s="119" t="s">
        <v>128</v>
      </c>
      <c r="F41" s="118">
        <v>1</v>
      </c>
      <c r="G41" s="273">
        <f t="shared" si="0"/>
        <v>0</v>
      </c>
      <c r="H41" s="120" t="s">
        <v>130</v>
      </c>
      <c r="I41" s="147">
        <v>1</v>
      </c>
      <c r="J41" s="273">
        <f t="shared" si="1"/>
        <v>0</v>
      </c>
      <c r="K41" s="303"/>
      <c r="L41" s="258" t="s">
        <v>559</v>
      </c>
    </row>
    <row r="42" spans="1:15">
      <c r="A42" s="77">
        <v>27</v>
      </c>
      <c r="B42" s="136"/>
      <c r="C42" s="80" t="s">
        <v>151</v>
      </c>
      <c r="D42" s="108">
        <v>-20669</v>
      </c>
      <c r="E42" s="119" t="s">
        <v>128</v>
      </c>
      <c r="F42" s="118">
        <v>1</v>
      </c>
      <c r="G42" s="108">
        <f t="shared" si="0"/>
        <v>-20669</v>
      </c>
      <c r="H42" s="119" t="s">
        <v>132</v>
      </c>
      <c r="I42" s="836">
        <f>+'Exhibit 6'!D61</f>
        <v>0.12581649289635913</v>
      </c>
      <c r="J42" s="273">
        <f t="shared" si="1"/>
        <v>-2600.501091674847</v>
      </c>
      <c r="K42" s="303"/>
      <c r="L42" s="252" t="s">
        <v>216</v>
      </c>
    </row>
    <row r="43" spans="1:15">
      <c r="A43" s="77">
        <v>28</v>
      </c>
      <c r="B43" s="136"/>
      <c r="C43" s="80" t="s">
        <v>149</v>
      </c>
      <c r="D43" s="902">
        <v>0</v>
      </c>
      <c r="E43" s="119" t="s">
        <v>128</v>
      </c>
      <c r="F43" s="118">
        <v>1</v>
      </c>
      <c r="G43" s="273">
        <f t="shared" si="0"/>
        <v>0</v>
      </c>
      <c r="H43" s="119" t="s">
        <v>132</v>
      </c>
      <c r="I43" s="836">
        <f>+'Exhibit 6'!D61</f>
        <v>0.12581649289635913</v>
      </c>
      <c r="J43" s="273">
        <f t="shared" si="1"/>
        <v>0</v>
      </c>
      <c r="K43" s="303"/>
      <c r="L43" s="258" t="s">
        <v>319</v>
      </c>
    </row>
    <row r="44" spans="1:15">
      <c r="A44" s="77">
        <v>29</v>
      </c>
      <c r="B44" s="135"/>
      <c r="C44" s="399" t="s">
        <v>126</v>
      </c>
      <c r="D44" s="400"/>
      <c r="E44" s="401"/>
      <c r="F44" s="398"/>
      <c r="G44" s="400"/>
      <c r="H44" s="401"/>
      <c r="I44" s="398"/>
      <c r="J44" s="821">
        <f>SUM(J34:J43)</f>
        <v>557100.3657930668</v>
      </c>
      <c r="K44" s="105"/>
      <c r="L44" s="258" t="s">
        <v>412</v>
      </c>
      <c r="M44" s="256"/>
    </row>
    <row r="45" spans="1:15">
      <c r="A45" s="77"/>
      <c r="K45" s="303"/>
      <c r="N45" s="256"/>
      <c r="O45" s="256"/>
    </row>
    <row r="46" spans="1:15">
      <c r="A46" s="9" t="s">
        <v>11</v>
      </c>
      <c r="B46" s="257"/>
      <c r="C46" s="257"/>
      <c r="D46" s="257"/>
      <c r="E46" s="257"/>
      <c r="F46" s="257"/>
      <c r="G46" s="257"/>
      <c r="H46" s="257"/>
      <c r="I46" s="257"/>
      <c r="J46" s="257"/>
      <c r="K46" s="257"/>
      <c r="L46" s="257"/>
    </row>
    <row r="47" spans="1:15" s="256" customFormat="1">
      <c r="A47" s="253">
        <v>1</v>
      </c>
      <c r="B47" s="256" t="s">
        <v>553</v>
      </c>
    </row>
    <row r="48" spans="1:15">
      <c r="A48" s="5">
        <v>2</v>
      </c>
      <c r="B48" s="256" t="s">
        <v>316</v>
      </c>
      <c r="D48" s="256"/>
      <c r="E48" s="256"/>
      <c r="F48" s="256"/>
      <c r="G48" s="256"/>
      <c r="I48" s="256"/>
      <c r="J48" s="256"/>
    </row>
    <row r="49" spans="4:15" s="256" customFormat="1"/>
    <row r="50" spans="4:15" s="256" customFormat="1"/>
    <row r="51" spans="4:15" s="256" customFormat="1"/>
    <row r="52" spans="4:15" s="256" customFormat="1"/>
    <row r="53" spans="4:15" s="256" customFormat="1"/>
    <row r="54" spans="4:15" s="256" customFormat="1"/>
    <row r="55" spans="4:15" s="256" customFormat="1"/>
    <row r="56" spans="4:15" s="256" customFormat="1"/>
    <row r="57" spans="4:15" s="256" customFormat="1"/>
    <row r="58" spans="4:15" s="256" customFormat="1"/>
    <row r="59" spans="4:15" s="256" customFormat="1"/>
    <row r="60" spans="4:15" s="256" customFormat="1"/>
    <row r="61" spans="4:15" s="256" customFormat="1">
      <c r="D61" s="255"/>
      <c r="E61" s="255"/>
      <c r="F61" s="255"/>
      <c r="G61" s="255"/>
      <c r="I61" s="255"/>
      <c r="J61" s="255"/>
      <c r="M61" s="255"/>
    </row>
    <row r="62" spans="4:15" s="256" customFormat="1">
      <c r="D62" s="255"/>
      <c r="E62" s="255"/>
      <c r="F62" s="255"/>
      <c r="G62" s="255"/>
      <c r="I62" s="255"/>
      <c r="J62" s="255"/>
      <c r="M62" s="255"/>
      <c r="N62" s="255"/>
      <c r="O62" s="255"/>
    </row>
  </sheetData>
  <mergeCells count="6">
    <mergeCell ref="E9:F9"/>
    <mergeCell ref="H9:I9"/>
    <mergeCell ref="E6:F6"/>
    <mergeCell ref="H6:I6"/>
    <mergeCell ref="E8:F8"/>
    <mergeCell ref="H8:I8"/>
  </mergeCells>
  <pageMargins left="0.5" right="0.5" top="0.5" bottom="0.5"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4"/>
  <sheetViews>
    <sheetView view="pageBreakPreview" topLeftCell="A4" zoomScale="81" zoomScaleNormal="85" zoomScaleSheetLayoutView="81" workbookViewId="0"/>
  </sheetViews>
  <sheetFormatPr defaultColWidth="8.88671875" defaultRowHeight="14.25"/>
  <cols>
    <col min="1" max="1" width="4.21875" style="256" customWidth="1"/>
    <col min="2" max="2" width="2.6640625" style="256" customWidth="1"/>
    <col min="3" max="3" width="63.77734375" style="256" customWidth="1"/>
    <col min="4" max="4" width="15.109375" style="255" customWidth="1"/>
    <col min="5" max="5" width="2.44140625" style="256" customWidth="1"/>
    <col min="6" max="6" width="19.77734375" style="256" bestFit="1" customWidth="1"/>
    <col min="7" max="7" width="13.21875" style="255" bestFit="1" customWidth="1"/>
    <col min="8" max="8" width="13.77734375" style="255" customWidth="1"/>
    <col min="9" max="9" width="13.21875" style="255" bestFit="1" customWidth="1"/>
    <col min="10" max="10" width="13.33203125" style="255" bestFit="1" customWidth="1"/>
    <col min="11" max="16384" width="8.88671875" style="255"/>
  </cols>
  <sheetData>
    <row r="1" spans="1:6" ht="15">
      <c r="A1" s="259" t="str">
        <f>'Exhibit 1a'!A1</f>
        <v>VERSANT POWER – MAINE PUBLIC DISTRICT OATT</v>
      </c>
      <c r="B1" s="14"/>
      <c r="D1" s="14"/>
      <c r="E1" s="108"/>
      <c r="F1" s="94" t="s">
        <v>48</v>
      </c>
    </row>
    <row r="2" spans="1:6" ht="15">
      <c r="A2" s="259" t="str">
        <f>'Exhibit 1a'!A2</f>
        <v>ATTACHMENT J FORMULA RATES</v>
      </c>
      <c r="B2" s="14"/>
      <c r="C2" s="14"/>
      <c r="D2" s="14"/>
      <c r="E2" s="108"/>
      <c r="F2" s="93" t="s">
        <v>213</v>
      </c>
    </row>
    <row r="3" spans="1:6" ht="15">
      <c r="A3" s="259" t="str">
        <f>'Exhibit 1a'!A3</f>
        <v>RATE YEAR JUNE 1, 2020 TO MAY 31, 2021</v>
      </c>
      <c r="B3" s="14"/>
      <c r="C3" s="14"/>
      <c r="D3" s="14"/>
      <c r="E3" s="114"/>
      <c r="F3" s="76"/>
    </row>
    <row r="4" spans="1:6" s="256" customFormat="1" ht="15">
      <c r="A4" s="259" t="str">
        <f>'Exhibit 1a'!A4</f>
        <v>Actual ATRR &amp; CHARGES BASED ON ACTUAL CY 2020 VALUES</v>
      </c>
      <c r="B4" s="14"/>
      <c r="C4" s="14"/>
      <c r="D4" s="14"/>
      <c r="E4" s="114"/>
      <c r="F4" s="76"/>
    </row>
    <row r="5" spans="1:6" ht="15">
      <c r="A5" s="275"/>
      <c r="B5" s="143"/>
      <c r="C5" s="143"/>
      <c r="D5" s="27"/>
      <c r="E5" s="114"/>
      <c r="F5" s="143"/>
    </row>
    <row r="6" spans="1:6" ht="15">
      <c r="A6" s="141" t="s">
        <v>212</v>
      </c>
      <c r="B6" s="141"/>
      <c r="C6" s="141"/>
      <c r="D6" s="566" t="s">
        <v>66</v>
      </c>
      <c r="E6" s="113"/>
      <c r="F6" s="141"/>
    </row>
    <row r="7" spans="1:6" ht="15">
      <c r="D7" s="367"/>
      <c r="E7" s="112"/>
      <c r="F7" s="253"/>
    </row>
    <row r="8" spans="1:6" ht="15">
      <c r="A8" s="567" t="s">
        <v>142</v>
      </c>
      <c r="B8" s="90" t="s">
        <v>13</v>
      </c>
      <c r="C8" s="90"/>
      <c r="D8" s="567" t="s">
        <v>12</v>
      </c>
      <c r="E8" s="567"/>
      <c r="F8" s="567" t="s">
        <v>25</v>
      </c>
    </row>
    <row r="9" spans="1:6" ht="15">
      <c r="A9" s="28"/>
      <c r="B9" s="87"/>
      <c r="C9" s="87"/>
      <c r="D9" s="28"/>
      <c r="E9" s="108"/>
      <c r="F9" s="28"/>
    </row>
    <row r="10" spans="1:6" ht="15">
      <c r="A10" s="83" t="s">
        <v>211</v>
      </c>
      <c r="B10" s="14"/>
      <c r="C10" s="14"/>
      <c r="D10" s="134"/>
      <c r="E10" s="303"/>
      <c r="F10" s="258"/>
    </row>
    <row r="11" spans="1:6">
      <c r="A11" s="77">
        <v>1</v>
      </c>
      <c r="B11" s="14" t="s">
        <v>210</v>
      </c>
      <c r="C11" s="14"/>
      <c r="D11" s="840">
        <f>'WP FF1 Reconciliation'!F178</f>
        <v>129888</v>
      </c>
      <c r="E11" s="303"/>
      <c r="F11" s="258" t="s">
        <v>737</v>
      </c>
    </row>
    <row r="12" spans="1:6">
      <c r="A12" s="77">
        <v>2</v>
      </c>
      <c r="B12" s="14" t="s">
        <v>209</v>
      </c>
      <c r="C12" s="14"/>
      <c r="D12" s="840">
        <f>'WP FF1 Reconciliation'!F179</f>
        <v>35970</v>
      </c>
      <c r="E12" s="303"/>
      <c r="F12" s="258" t="s">
        <v>737</v>
      </c>
    </row>
    <row r="13" spans="1:6">
      <c r="A13" s="77">
        <v>3</v>
      </c>
      <c r="B13" s="14"/>
      <c r="C13" s="14" t="s">
        <v>208</v>
      </c>
      <c r="D13" s="841">
        <f>SUM(D11:D12)</f>
        <v>165858</v>
      </c>
      <c r="E13" s="303"/>
      <c r="F13" s="258" t="s">
        <v>285</v>
      </c>
    </row>
    <row r="14" spans="1:6" ht="15">
      <c r="A14" s="77">
        <v>4</v>
      </c>
      <c r="B14" s="14" t="s">
        <v>207</v>
      </c>
      <c r="C14" s="54"/>
      <c r="D14" s="842">
        <f>+D11/D13</f>
        <v>0.78312773577397532</v>
      </c>
      <c r="E14" s="303"/>
      <c r="F14" s="146" t="s">
        <v>700</v>
      </c>
    </row>
    <row r="15" spans="1:6" ht="15">
      <c r="A15" s="77">
        <v>5</v>
      </c>
      <c r="B15" s="30" t="s">
        <v>206</v>
      </c>
      <c r="D15" s="843">
        <f>+D12/D13</f>
        <v>0.21687226422602468</v>
      </c>
      <c r="E15" s="303"/>
      <c r="F15" s="146" t="s">
        <v>701</v>
      </c>
    </row>
    <row r="16" spans="1:6">
      <c r="A16" s="77">
        <v>6</v>
      </c>
      <c r="B16" s="332"/>
      <c r="C16" s="14"/>
      <c r="D16" s="147"/>
      <c r="E16" s="303"/>
      <c r="F16" s="146"/>
    </row>
    <row r="17" spans="1:7" ht="15">
      <c r="A17" s="77">
        <v>7</v>
      </c>
      <c r="B17" s="14" t="s">
        <v>205</v>
      </c>
      <c r="C17" s="54"/>
      <c r="D17" s="842">
        <f>D14/3+D32/3+D26/3</f>
        <v>0.74557946696198463</v>
      </c>
      <c r="E17" s="303"/>
      <c r="F17" s="146" t="s">
        <v>702</v>
      </c>
    </row>
    <row r="18" spans="1:7" ht="15">
      <c r="A18" s="77">
        <v>8</v>
      </c>
      <c r="B18" s="30" t="s">
        <v>204</v>
      </c>
      <c r="C18" s="54"/>
      <c r="D18" s="843">
        <f>D15/3+D33/3+D27/3</f>
        <v>0.25442053303801532</v>
      </c>
      <c r="E18" s="303"/>
      <c r="F18" s="146" t="s">
        <v>703</v>
      </c>
    </row>
    <row r="19" spans="1:7">
      <c r="A19" s="77">
        <v>9</v>
      </c>
      <c r="B19" s="332"/>
      <c r="C19" s="14"/>
      <c r="D19" s="147"/>
      <c r="E19" s="303"/>
      <c r="F19" s="146"/>
    </row>
    <row r="20" spans="1:7" ht="15">
      <c r="A20" s="77">
        <v>10</v>
      </c>
      <c r="B20" s="14" t="s">
        <v>203</v>
      </c>
      <c r="C20" s="54"/>
      <c r="D20" s="842">
        <f>D14/2+D26/2</f>
        <v>0.76054423783831315</v>
      </c>
      <c r="E20" s="303"/>
      <c r="F20" s="146" t="s">
        <v>704</v>
      </c>
    </row>
    <row r="21" spans="1:7" ht="15">
      <c r="A21" s="77">
        <v>11</v>
      </c>
      <c r="B21" s="30" t="s">
        <v>202</v>
      </c>
      <c r="C21" s="14"/>
      <c r="D21" s="843">
        <f>D15/2+D27/2</f>
        <v>0.2394557621616869</v>
      </c>
      <c r="E21" s="303"/>
      <c r="F21" s="146" t="s">
        <v>705</v>
      </c>
    </row>
    <row r="22" spans="1:7">
      <c r="A22" s="77">
        <v>12</v>
      </c>
      <c r="B22" s="332"/>
      <c r="C22" s="14"/>
      <c r="D22" s="147"/>
      <c r="E22" s="303"/>
      <c r="F22" s="146"/>
    </row>
    <row r="23" spans="1:7">
      <c r="A23" s="77">
        <v>13</v>
      </c>
      <c r="B23" s="14" t="s">
        <v>201</v>
      </c>
      <c r="C23" s="14"/>
      <c r="D23" s="840">
        <f>'WP FF1 Reconciliation'!D182</f>
        <v>1429970.5360000001</v>
      </c>
      <c r="E23" s="303"/>
      <c r="F23" s="258" t="s">
        <v>738</v>
      </c>
      <c r="G23" s="840"/>
    </row>
    <row r="24" spans="1:7">
      <c r="A24" s="77">
        <v>14</v>
      </c>
      <c r="B24" s="14" t="s">
        <v>200</v>
      </c>
      <c r="C24" s="14"/>
      <c r="D24" s="840">
        <f>'WP FF1 Reconciliation'!D183</f>
        <v>507762</v>
      </c>
      <c r="E24" s="303"/>
      <c r="F24" s="258" t="s">
        <v>738</v>
      </c>
      <c r="G24" s="929"/>
    </row>
    <row r="25" spans="1:7">
      <c r="A25" s="77">
        <v>15</v>
      </c>
      <c r="B25" s="14"/>
      <c r="C25" s="14" t="s">
        <v>199</v>
      </c>
      <c r="D25" s="841">
        <f>SUM(D23:D24)</f>
        <v>1937732.5360000001</v>
      </c>
      <c r="E25" s="303"/>
      <c r="F25" s="258" t="s">
        <v>706</v>
      </c>
      <c r="G25" s="928"/>
    </row>
    <row r="26" spans="1:7" ht="15">
      <c r="A26" s="77">
        <v>16</v>
      </c>
      <c r="B26" s="14" t="s">
        <v>198</v>
      </c>
      <c r="C26" s="54"/>
      <c r="D26" s="842">
        <f>+D23/D25</f>
        <v>0.73796073990265088</v>
      </c>
      <c r="E26" s="303"/>
      <c r="F26" s="146" t="s">
        <v>739</v>
      </c>
      <c r="G26" s="842"/>
    </row>
    <row r="27" spans="1:7" ht="15">
      <c r="A27" s="77">
        <v>17</v>
      </c>
      <c r="B27" s="30" t="s">
        <v>197</v>
      </c>
      <c r="C27" s="54"/>
      <c r="D27" s="843">
        <f>+D24/D25</f>
        <v>0.26203926009734912</v>
      </c>
      <c r="E27" s="303"/>
      <c r="F27" s="146" t="s">
        <v>740</v>
      </c>
      <c r="G27" s="843"/>
    </row>
    <row r="28" spans="1:7">
      <c r="A28" s="77">
        <v>18</v>
      </c>
      <c r="B28" s="332"/>
      <c r="C28" s="14"/>
      <c r="D28" s="147"/>
      <c r="E28" s="303"/>
      <c r="F28" s="146"/>
    </row>
    <row r="29" spans="1:7">
      <c r="A29" s="77">
        <v>19</v>
      </c>
      <c r="B29" s="14" t="s">
        <v>196</v>
      </c>
      <c r="C29" s="14"/>
      <c r="D29" s="908">
        <v>2846.0158070000007</v>
      </c>
      <c r="E29" s="303"/>
      <c r="F29" s="258" t="s">
        <v>564</v>
      </c>
    </row>
    <row r="30" spans="1:7">
      <c r="A30" s="77">
        <v>20</v>
      </c>
      <c r="B30" s="14" t="s">
        <v>195</v>
      </c>
      <c r="C30" s="14"/>
      <c r="D30" s="840">
        <f>SUM('Exhibit 8'!C11:C22)</f>
        <v>1130.8110000000001</v>
      </c>
      <c r="E30" s="303"/>
      <c r="F30" s="258" t="s">
        <v>564</v>
      </c>
    </row>
    <row r="31" spans="1:7">
      <c r="A31" s="77">
        <v>21</v>
      </c>
      <c r="B31" s="14"/>
      <c r="C31" s="14" t="s">
        <v>194</v>
      </c>
      <c r="D31" s="841">
        <f>+D29+D30</f>
        <v>3976.8268070000008</v>
      </c>
      <c r="E31" s="303"/>
      <c r="F31" s="258" t="s">
        <v>707</v>
      </c>
    </row>
    <row r="32" spans="1:7" ht="15">
      <c r="A32" s="77">
        <v>22</v>
      </c>
      <c r="B32" s="14" t="s">
        <v>193</v>
      </c>
      <c r="C32" s="54"/>
      <c r="D32" s="842">
        <f>+D29/D31</f>
        <v>0.7156499252093278</v>
      </c>
      <c r="E32" s="303"/>
      <c r="F32" s="146" t="s">
        <v>708</v>
      </c>
    </row>
    <row r="33" spans="1:10" ht="15">
      <c r="A33" s="77">
        <v>23</v>
      </c>
      <c r="B33" s="30" t="s">
        <v>192</v>
      </c>
      <c r="C33" s="54"/>
      <c r="D33" s="843">
        <f>+D30/D31</f>
        <v>0.28435007479067215</v>
      </c>
      <c r="E33" s="303"/>
      <c r="F33" s="146" t="s">
        <v>709</v>
      </c>
    </row>
    <row r="34" spans="1:10">
      <c r="A34" s="77">
        <v>24</v>
      </c>
      <c r="B34" s="332"/>
      <c r="C34" s="14"/>
      <c r="D34" s="147"/>
      <c r="E34" s="105"/>
      <c r="F34" s="146"/>
    </row>
    <row r="35" spans="1:10">
      <c r="A35" s="77">
        <v>25</v>
      </c>
      <c r="B35" s="14" t="s">
        <v>191</v>
      </c>
      <c r="C35" s="14"/>
      <c r="D35" s="844">
        <f>+'WP FF1 Reconciliation'!E182</f>
        <v>118081186</v>
      </c>
      <c r="E35" s="105"/>
      <c r="F35" s="258" t="s">
        <v>741</v>
      </c>
    </row>
    <row r="36" spans="1:10">
      <c r="A36" s="77">
        <v>26</v>
      </c>
      <c r="B36" s="14" t="s">
        <v>190</v>
      </c>
      <c r="C36" s="14"/>
      <c r="D36" s="845">
        <f>+'WP FF1 Reconciliation'!E183</f>
        <v>29576123</v>
      </c>
      <c r="E36" s="105"/>
      <c r="F36" s="258" t="s">
        <v>741</v>
      </c>
    </row>
    <row r="37" spans="1:10">
      <c r="A37" s="77">
        <v>27</v>
      </c>
      <c r="B37" s="14"/>
      <c r="C37" s="14" t="s">
        <v>634</v>
      </c>
      <c r="D37" s="835">
        <f>SUM(D35:D36)</f>
        <v>147657309</v>
      </c>
      <c r="E37" s="105"/>
      <c r="F37" s="258" t="s">
        <v>710</v>
      </c>
    </row>
    <row r="38" spans="1:10">
      <c r="A38" s="77">
        <v>28</v>
      </c>
      <c r="B38" s="14" t="s">
        <v>189</v>
      </c>
      <c r="C38" s="14"/>
      <c r="D38" s="842">
        <f>+D35/D37</f>
        <v>0.79969753478305639</v>
      </c>
      <c r="E38" s="105"/>
      <c r="F38" s="146" t="s">
        <v>711</v>
      </c>
    </row>
    <row r="39" spans="1:10" ht="15">
      <c r="A39" s="77">
        <v>29</v>
      </c>
      <c r="B39" s="30" t="s">
        <v>188</v>
      </c>
      <c r="C39" s="14"/>
      <c r="D39" s="843">
        <f>+D36/D37</f>
        <v>0.20030246521694364</v>
      </c>
      <c r="E39" s="105"/>
      <c r="F39" s="146" t="s">
        <v>712</v>
      </c>
    </row>
    <row r="40" spans="1:10">
      <c r="A40" s="77">
        <v>30</v>
      </c>
      <c r="B40" s="332"/>
      <c r="C40" s="14"/>
      <c r="D40" s="147"/>
      <c r="E40" s="105"/>
      <c r="F40" s="146"/>
    </row>
    <row r="41" spans="1:10">
      <c r="A41" s="77">
        <v>31</v>
      </c>
      <c r="B41" s="14" t="s">
        <v>606</v>
      </c>
      <c r="C41" s="14"/>
      <c r="D41" s="909">
        <v>1129207154.9830768</v>
      </c>
      <c r="F41" s="258" t="s">
        <v>90</v>
      </c>
      <c r="G41" s="306"/>
      <c r="H41" s="556"/>
      <c r="I41" s="306"/>
      <c r="J41" s="278"/>
    </row>
    <row r="42" spans="1:10">
      <c r="A42" s="77">
        <v>32</v>
      </c>
      <c r="B42" s="14" t="s">
        <v>607</v>
      </c>
      <c r="C42" s="14"/>
      <c r="D42" s="910">
        <f>229894989.8+('WP Line 6901 Adjustments'!C10*5/13)</f>
        <v>228967652.30338463</v>
      </c>
      <c r="F42" s="258" t="s">
        <v>90</v>
      </c>
      <c r="G42" s="306"/>
      <c r="H42" s="556"/>
      <c r="I42" s="306"/>
      <c r="J42" s="278"/>
    </row>
    <row r="43" spans="1:10">
      <c r="A43" s="77">
        <v>33</v>
      </c>
      <c r="B43" s="149"/>
      <c r="C43" s="150" t="s">
        <v>187</v>
      </c>
      <c r="D43" s="835">
        <f>SUM(D41:D42)</f>
        <v>1358174807.2864614</v>
      </c>
      <c r="F43" s="258" t="s">
        <v>713</v>
      </c>
    </row>
    <row r="44" spans="1:10" ht="15">
      <c r="A44" s="77">
        <v>34</v>
      </c>
      <c r="B44" s="14" t="s">
        <v>186</v>
      </c>
      <c r="C44" s="54"/>
      <c r="D44" s="842">
        <f>D41/D43</f>
        <v>0.83141518229097033</v>
      </c>
      <c r="F44" s="146" t="s">
        <v>714</v>
      </c>
    </row>
    <row r="45" spans="1:10" ht="15">
      <c r="A45" s="77">
        <v>35</v>
      </c>
      <c r="B45" s="30" t="s">
        <v>185</v>
      </c>
      <c r="C45" s="54"/>
      <c r="D45" s="843">
        <f>D42/D43</f>
        <v>0.16858481770902969</v>
      </c>
      <c r="F45" s="146" t="s">
        <v>715</v>
      </c>
    </row>
    <row r="46" spans="1:10" ht="15">
      <c r="A46" s="77"/>
      <c r="B46" s="14"/>
      <c r="C46" s="54"/>
      <c r="D46" s="147"/>
      <c r="F46" s="146"/>
    </row>
    <row r="47" spans="1:10" ht="15">
      <c r="A47" s="83" t="s">
        <v>184</v>
      </c>
      <c r="B47" s="333"/>
      <c r="C47" s="14"/>
      <c r="D47" s="147"/>
      <c r="F47" s="146"/>
    </row>
    <row r="48" spans="1:10" ht="15">
      <c r="A48" s="77">
        <v>36</v>
      </c>
      <c r="B48" s="30" t="s">
        <v>699</v>
      </c>
      <c r="C48" s="30"/>
      <c r="D48" s="846">
        <f>'Exhibit 4'!W11</f>
        <v>78225706.827076927</v>
      </c>
      <c r="F48" s="488" t="s">
        <v>395</v>
      </c>
    </row>
    <row r="49" spans="1:6">
      <c r="A49" s="77">
        <v>37</v>
      </c>
      <c r="B49" s="333" t="s">
        <v>600</v>
      </c>
      <c r="C49" s="14"/>
      <c r="D49" s="846">
        <f>'Exhibit 4'!W13+'Exhibit 4'!W15</f>
        <v>3965637.9199544773</v>
      </c>
      <c r="F49" s="488" t="s">
        <v>635</v>
      </c>
    </row>
    <row r="50" spans="1:6">
      <c r="A50" s="77">
        <v>38</v>
      </c>
      <c r="B50" s="333" t="s">
        <v>601</v>
      </c>
      <c r="C50" s="14"/>
      <c r="D50" s="847">
        <f>D42</f>
        <v>228967652.30338463</v>
      </c>
      <c r="F50" s="258" t="s">
        <v>716</v>
      </c>
    </row>
    <row r="51" spans="1:6" ht="15">
      <c r="A51" s="77">
        <v>39</v>
      </c>
      <c r="B51" s="334" t="s">
        <v>183</v>
      </c>
      <c r="C51" s="14"/>
      <c r="D51" s="848">
        <f>(D48+D49)/D50</f>
        <v>0.35896487525725679</v>
      </c>
      <c r="F51" s="146" t="s">
        <v>717</v>
      </c>
    </row>
    <row r="52" spans="1:6">
      <c r="A52" s="77">
        <v>40</v>
      </c>
      <c r="B52" s="332"/>
      <c r="C52" s="14"/>
      <c r="D52" s="147"/>
      <c r="F52" s="146"/>
    </row>
    <row r="53" spans="1:6">
      <c r="A53" s="77">
        <v>41</v>
      </c>
      <c r="B53" s="14" t="s">
        <v>182</v>
      </c>
      <c r="C53" s="14"/>
      <c r="D53" s="909">
        <v>8863722</v>
      </c>
      <c r="F53" s="258" t="s">
        <v>90</v>
      </c>
    </row>
    <row r="54" spans="1:6" ht="15">
      <c r="A54" s="77">
        <v>42</v>
      </c>
      <c r="B54" s="14" t="s">
        <v>181</v>
      </c>
      <c r="C54" s="54"/>
      <c r="D54" s="835">
        <f>D36</f>
        <v>29576123</v>
      </c>
      <c r="F54" s="258" t="s">
        <v>718</v>
      </c>
    </row>
    <row r="55" spans="1:6" ht="15">
      <c r="A55" s="77">
        <v>43</v>
      </c>
      <c r="B55" s="334" t="s">
        <v>180</v>
      </c>
      <c r="C55" s="14"/>
      <c r="D55" s="843">
        <f>D53/D54</f>
        <v>0.29969181559056945</v>
      </c>
      <c r="F55" s="146" t="s">
        <v>719</v>
      </c>
    </row>
    <row r="56" spans="1:6" ht="15">
      <c r="A56" s="77"/>
      <c r="B56" s="334"/>
      <c r="C56" s="14"/>
      <c r="D56" s="148"/>
      <c r="F56" s="146"/>
    </row>
    <row r="57" spans="1:6" ht="15">
      <c r="A57" s="83" t="s">
        <v>698</v>
      </c>
      <c r="B57" s="332"/>
      <c r="C57" s="14"/>
      <c r="D57" s="147"/>
      <c r="F57" s="146"/>
    </row>
    <row r="58" spans="1:6">
      <c r="A58" s="77">
        <v>44</v>
      </c>
      <c r="B58" s="14" t="s">
        <v>179</v>
      </c>
      <c r="C58" s="14"/>
      <c r="D58" s="909">
        <v>2777760.71</v>
      </c>
      <c r="F58" s="258" t="s">
        <v>178</v>
      </c>
    </row>
    <row r="59" spans="1:6">
      <c r="A59" s="77">
        <v>45</v>
      </c>
      <c r="B59" s="14" t="s">
        <v>565</v>
      </c>
      <c r="C59" s="14"/>
      <c r="D59" s="909">
        <v>27784107.029999997</v>
      </c>
      <c r="F59" s="258" t="s">
        <v>177</v>
      </c>
    </row>
    <row r="60" spans="1:6">
      <c r="A60" s="77">
        <v>46</v>
      </c>
      <c r="B60" s="14" t="s">
        <v>176</v>
      </c>
      <c r="C60" s="14"/>
      <c r="D60" s="909">
        <v>5706232.7699999996</v>
      </c>
      <c r="F60" s="258" t="s">
        <v>175</v>
      </c>
    </row>
    <row r="61" spans="1:6" ht="15">
      <c r="A61" s="77">
        <v>47</v>
      </c>
      <c r="B61" s="30" t="s">
        <v>174</v>
      </c>
      <c r="D61" s="843">
        <f>D58/(D59-D60)</f>
        <v>0.12581649289635913</v>
      </c>
      <c r="F61" s="146" t="s">
        <v>720</v>
      </c>
    </row>
    <row r="62" spans="1:6">
      <c r="B62" s="14"/>
      <c r="C62" s="14"/>
      <c r="D62" s="147"/>
      <c r="F62" s="253"/>
    </row>
    <row r="63" spans="1:6">
      <c r="A63" s="257" t="s">
        <v>11</v>
      </c>
      <c r="B63" s="257"/>
      <c r="C63" s="257"/>
      <c r="D63" s="257"/>
      <c r="E63" s="257"/>
      <c r="F63" s="257"/>
    </row>
    <row r="64" spans="1:6">
      <c r="A64" s="253">
        <v>1</v>
      </c>
      <c r="B64" s="256" t="s">
        <v>173</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topLeftCell="A5" zoomScale="81" zoomScaleNormal="100" zoomScaleSheetLayoutView="81" workbookViewId="0"/>
  </sheetViews>
  <sheetFormatPr defaultColWidth="9.77734375" defaultRowHeight="14.25"/>
  <cols>
    <col min="1" max="1" width="4.21875" style="21" customWidth="1"/>
    <col min="2" max="2" width="3.5546875" style="21" customWidth="1"/>
    <col min="3" max="3" width="50.77734375" style="21" customWidth="1"/>
    <col min="4" max="4" width="14.109375" style="255" customWidth="1"/>
    <col min="5" max="5" width="2.44140625" style="256" customWidth="1"/>
    <col min="6" max="6" width="24" style="21" customWidth="1"/>
    <col min="7" max="16384" width="9.77734375" style="255"/>
  </cols>
  <sheetData>
    <row r="1" spans="1:6" ht="15">
      <c r="A1" s="259" t="str">
        <f>'Exhibit 1a'!A1</f>
        <v>VERSANT POWER – MAINE PUBLIC DISTRICT OATT</v>
      </c>
      <c r="B1" s="14"/>
      <c r="E1" s="108"/>
      <c r="F1" s="94" t="s">
        <v>48</v>
      </c>
    </row>
    <row r="2" spans="1:6" ht="15">
      <c r="A2" s="259" t="str">
        <f>'Exhibit 1a'!A2</f>
        <v>ATTACHMENT J FORMULA RATES</v>
      </c>
      <c r="B2" s="14"/>
      <c r="C2" s="14"/>
      <c r="E2" s="108"/>
      <c r="F2" s="93" t="s">
        <v>218</v>
      </c>
    </row>
    <row r="3" spans="1:6" ht="15">
      <c r="A3" s="259" t="str">
        <f>'Exhibit 1a'!A3</f>
        <v>RATE YEAR JUNE 1, 2020 TO MAY 31, 2021</v>
      </c>
      <c r="B3" s="255"/>
      <c r="C3" s="255"/>
      <c r="D3" s="76"/>
      <c r="E3" s="114"/>
      <c r="F3" s="114"/>
    </row>
    <row r="4" spans="1:6" s="256" customFormat="1" ht="15">
      <c r="A4" s="259" t="str">
        <f>'Exhibit 1a'!A4</f>
        <v>Actual ATRR &amp; CHARGES BASED ON ACTUAL CY 2020 VALUES</v>
      </c>
      <c r="D4" s="76"/>
      <c r="E4" s="114"/>
      <c r="F4" s="114"/>
    </row>
    <row r="5" spans="1:6" ht="15">
      <c r="A5" s="275"/>
      <c r="B5" s="27"/>
      <c r="C5" s="27"/>
      <c r="D5" s="15"/>
      <c r="E5" s="114"/>
      <c r="F5" s="27"/>
    </row>
    <row r="6" spans="1:6" ht="15">
      <c r="A6" s="169" t="s">
        <v>217</v>
      </c>
      <c r="B6" s="32"/>
      <c r="C6" s="32"/>
      <c r="D6" s="91" t="s">
        <v>66</v>
      </c>
      <c r="E6" s="112"/>
      <c r="F6" s="32"/>
    </row>
    <row r="7" spans="1:6" ht="15">
      <c r="A7" s="32"/>
      <c r="B7" s="32"/>
      <c r="C7" s="32"/>
      <c r="D7" s="580"/>
      <c r="E7" s="108"/>
      <c r="F7" s="32"/>
    </row>
    <row r="8" spans="1:6" ht="15">
      <c r="A8" s="567" t="s">
        <v>14</v>
      </c>
      <c r="B8" s="90" t="s">
        <v>13</v>
      </c>
      <c r="C8" s="90"/>
      <c r="D8" s="89" t="s">
        <v>141</v>
      </c>
      <c r="E8" s="567"/>
      <c r="F8" s="567" t="s">
        <v>25</v>
      </c>
    </row>
    <row r="9" spans="1:6" ht="15">
      <c r="A9" s="77"/>
      <c r="B9" s="164"/>
      <c r="C9" s="164"/>
      <c r="D9" s="77"/>
      <c r="E9" s="33"/>
      <c r="F9" s="77"/>
    </row>
    <row r="10" spans="1:6" ht="15">
      <c r="A10" s="77">
        <v>1</v>
      </c>
      <c r="B10" s="165" t="s">
        <v>566</v>
      </c>
      <c r="C10" s="164"/>
      <c r="D10" s="77"/>
      <c r="E10" s="33"/>
      <c r="F10" s="502" t="s">
        <v>567</v>
      </c>
    </row>
    <row r="11" spans="1:6">
      <c r="A11" s="15">
        <v>2</v>
      </c>
      <c r="B11" s="255"/>
      <c r="C11" s="911" t="s">
        <v>1186</v>
      </c>
      <c r="D11" s="912">
        <v>646413</v>
      </c>
      <c r="E11" s="303"/>
      <c r="F11" s="886" t="s">
        <v>1168</v>
      </c>
    </row>
    <row r="12" spans="1:6">
      <c r="A12" s="77">
        <v>3</v>
      </c>
      <c r="B12" s="255"/>
      <c r="C12" s="911" t="s">
        <v>1187</v>
      </c>
      <c r="D12" s="912">
        <v>28581</v>
      </c>
      <c r="E12" s="303"/>
      <c r="F12" s="886" t="s">
        <v>1168</v>
      </c>
    </row>
    <row r="13" spans="1:6">
      <c r="A13" s="15">
        <v>4</v>
      </c>
      <c r="B13" s="255"/>
      <c r="C13" s="924" t="s">
        <v>1196</v>
      </c>
      <c r="D13" s="925">
        <v>-222405</v>
      </c>
      <c r="E13" s="303"/>
      <c r="F13" s="886"/>
    </row>
    <row r="14" spans="1:6">
      <c r="A14" s="77">
        <v>5</v>
      </c>
      <c r="B14" s="255"/>
      <c r="C14" s="369"/>
      <c r="D14" s="370"/>
      <c r="E14" s="303"/>
      <c r="F14" s="886"/>
    </row>
    <row r="15" spans="1:6">
      <c r="A15" s="15">
        <v>6</v>
      </c>
      <c r="B15" s="255"/>
      <c r="C15" s="369"/>
      <c r="D15" s="370"/>
      <c r="E15" s="303"/>
      <c r="F15" s="886"/>
    </row>
    <row r="16" spans="1:6">
      <c r="A16" s="77">
        <v>7</v>
      </c>
      <c r="B16" s="255"/>
      <c r="C16" s="369"/>
      <c r="D16" s="849"/>
      <c r="E16" s="303"/>
      <c r="F16" s="886"/>
    </row>
    <row r="17" spans="1:6">
      <c r="A17" s="15">
        <v>8</v>
      </c>
      <c r="B17" s="255"/>
      <c r="C17" s="369"/>
      <c r="D17" s="849"/>
      <c r="E17" s="303"/>
      <c r="F17" s="886"/>
    </row>
    <row r="18" spans="1:6">
      <c r="A18" s="77">
        <v>9</v>
      </c>
      <c r="B18" s="14"/>
      <c r="C18" s="850" t="s">
        <v>126</v>
      </c>
      <c r="D18" s="851">
        <f>SUM(D11:D17)</f>
        <v>452589</v>
      </c>
      <c r="E18" s="303"/>
      <c r="F18" s="885" t="s">
        <v>627</v>
      </c>
    </row>
    <row r="19" spans="1:6">
      <c r="A19" s="15">
        <v>10</v>
      </c>
      <c r="B19" s="164"/>
      <c r="C19" s="164"/>
      <c r="D19" s="125"/>
      <c r="E19" s="303"/>
      <c r="F19" s="502"/>
    </row>
    <row r="20" spans="1:6">
      <c r="A20" s="77">
        <v>11</v>
      </c>
      <c r="B20" s="165" t="s">
        <v>652</v>
      </c>
      <c r="C20" s="164"/>
      <c r="D20" s="699"/>
      <c r="E20" s="303"/>
      <c r="F20" s="502" t="s">
        <v>568</v>
      </c>
    </row>
    <row r="21" spans="1:6" s="256" customFormat="1">
      <c r="A21" s="15">
        <v>12</v>
      </c>
      <c r="B21" s="255"/>
      <c r="C21" s="852"/>
      <c r="D21" s="853"/>
      <c r="E21" s="303"/>
      <c r="F21" s="886"/>
    </row>
    <row r="22" spans="1:6" ht="15" customHeight="1">
      <c r="A22" s="77">
        <v>13</v>
      </c>
      <c r="B22" s="255"/>
      <c r="C22" s="852"/>
      <c r="D22" s="853"/>
      <c r="E22" s="303"/>
      <c r="F22" s="886"/>
    </row>
    <row r="23" spans="1:6">
      <c r="A23" s="15">
        <v>14</v>
      </c>
      <c r="B23" s="15"/>
      <c r="C23" s="850" t="s">
        <v>126</v>
      </c>
      <c r="D23" s="854">
        <f>SUM(D21:D22)</f>
        <v>0</v>
      </c>
      <c r="E23" s="303"/>
      <c r="F23" s="146" t="s">
        <v>628</v>
      </c>
    </row>
    <row r="24" spans="1:6" s="256" customFormat="1">
      <c r="A24" s="77">
        <v>15</v>
      </c>
      <c r="B24" s="15"/>
      <c r="C24" s="258"/>
      <c r="D24" s="161"/>
      <c r="E24" s="303"/>
      <c r="F24" s="146"/>
    </row>
    <row r="25" spans="1:6" s="256" customFormat="1">
      <c r="A25" s="15">
        <v>16</v>
      </c>
      <c r="B25" s="162" t="s">
        <v>72</v>
      </c>
      <c r="C25" s="258"/>
      <c r="D25" s="161"/>
      <c r="E25" s="303"/>
      <c r="F25" s="146"/>
    </row>
    <row r="26" spans="1:6" s="256" customFormat="1">
      <c r="A26" s="15">
        <v>17</v>
      </c>
      <c r="B26" s="255"/>
      <c r="C26" s="369"/>
      <c r="D26" s="855"/>
      <c r="E26" s="303"/>
      <c r="F26" s="886"/>
    </row>
    <row r="27" spans="1:6">
      <c r="A27" s="77">
        <v>18</v>
      </c>
      <c r="B27" s="255"/>
      <c r="C27" s="369"/>
      <c r="D27" s="855"/>
      <c r="E27" s="303"/>
      <c r="F27" s="886"/>
    </row>
    <row r="28" spans="1:6" ht="15" customHeight="1">
      <c r="A28" s="15">
        <v>19</v>
      </c>
      <c r="B28" s="160"/>
      <c r="C28" s="850" t="s">
        <v>126</v>
      </c>
      <c r="D28" s="854">
        <f>SUM(D26:D27)</f>
        <v>0</v>
      </c>
      <c r="E28" s="303"/>
      <c r="F28" s="258" t="s">
        <v>629</v>
      </c>
    </row>
    <row r="29" spans="1:6" ht="15" customHeight="1">
      <c r="A29" s="15">
        <v>20</v>
      </c>
      <c r="B29" s="160"/>
      <c r="C29" s="258"/>
      <c r="D29" s="856"/>
      <c r="E29" s="303"/>
      <c r="F29" s="258"/>
    </row>
    <row r="30" spans="1:6" s="256" customFormat="1" ht="15" customHeight="1" thickBot="1">
      <c r="A30" s="15">
        <v>21</v>
      </c>
      <c r="B30" s="448" t="s">
        <v>360</v>
      </c>
      <c r="C30" s="857"/>
      <c r="D30" s="858">
        <f>D18+D23+D28</f>
        <v>452589</v>
      </c>
      <c r="E30" s="303"/>
      <c r="F30" s="258" t="s">
        <v>630</v>
      </c>
    </row>
    <row r="31" spans="1:6" s="256" customFormat="1" ht="15" customHeight="1" thickTop="1">
      <c r="A31" s="15"/>
      <c r="B31" s="159"/>
      <c r="C31" s="159"/>
      <c r="D31" s="158"/>
      <c r="E31" s="303"/>
      <c r="F31" s="21"/>
    </row>
    <row r="32" spans="1:6" ht="15" customHeight="1">
      <c r="A32" s="9" t="s">
        <v>11</v>
      </c>
      <c r="B32" s="157"/>
      <c r="C32" s="157"/>
      <c r="D32" s="156"/>
      <c r="E32" s="303"/>
      <c r="F32" s="155"/>
    </row>
    <row r="33" spans="1:6" s="154" customFormat="1" ht="28.9" customHeight="1">
      <c r="A33" s="504">
        <v>1</v>
      </c>
      <c r="B33" s="944" t="s">
        <v>735</v>
      </c>
      <c r="C33" s="944"/>
      <c r="D33" s="944"/>
      <c r="E33" s="944"/>
      <c r="F33" s="944"/>
    </row>
    <row r="34" spans="1:6" ht="59.25" customHeight="1">
      <c r="A34" s="504">
        <v>2</v>
      </c>
      <c r="B34" s="945" t="s">
        <v>215</v>
      </c>
      <c r="C34" s="945"/>
      <c r="D34" s="945"/>
      <c r="E34" s="945"/>
      <c r="F34" s="945"/>
    </row>
    <row r="35" spans="1:6" ht="44.25" customHeight="1">
      <c r="A35" s="504">
        <v>3</v>
      </c>
      <c r="B35" s="945" t="s">
        <v>214</v>
      </c>
      <c r="C35" s="945"/>
      <c r="D35" s="945"/>
      <c r="E35" s="945"/>
      <c r="F35" s="945"/>
    </row>
    <row r="36" spans="1:6">
      <c r="A36" s="152"/>
      <c r="B36" s="153"/>
      <c r="C36" s="152"/>
      <c r="D36" s="152"/>
      <c r="E36" s="303"/>
      <c r="F36" s="152"/>
    </row>
    <row r="37" spans="1:6">
      <c r="A37" s="152"/>
      <c r="B37" s="153"/>
      <c r="C37" s="152"/>
      <c r="D37" s="152"/>
      <c r="E37" s="303"/>
      <c r="F37" s="152"/>
    </row>
    <row r="38" spans="1:6">
      <c r="B38" s="121"/>
      <c r="D38" s="21"/>
      <c r="E38" s="303"/>
    </row>
    <row r="39" spans="1:6">
      <c r="E39" s="303"/>
    </row>
    <row r="40" spans="1:6">
      <c r="E40" s="303"/>
    </row>
    <row r="41" spans="1:6" ht="174.6" customHeight="1">
      <c r="A41" s="152"/>
      <c r="B41" s="151"/>
      <c r="C41" s="151"/>
      <c r="D41" s="151"/>
      <c r="E41" s="303"/>
      <c r="F41" s="151"/>
    </row>
    <row r="42" spans="1:6">
      <c r="E42" s="303"/>
    </row>
    <row r="43" spans="1:6">
      <c r="E43" s="303"/>
    </row>
    <row r="44" spans="1:6">
      <c r="E44" s="105"/>
    </row>
    <row r="45" spans="1:6">
      <c r="E45" s="303"/>
    </row>
    <row r="46" spans="1:6">
      <c r="E46" s="303"/>
    </row>
    <row r="47" spans="1:6">
      <c r="E47" s="303"/>
    </row>
    <row r="75" spans="5:5">
      <c r="E75" s="257"/>
    </row>
  </sheetData>
  <mergeCells count="3">
    <mergeCell ref="B33:F33"/>
    <mergeCell ref="B34:F34"/>
    <mergeCell ref="B35:F35"/>
  </mergeCells>
  <pageMargins left="0.5" right="0.5" top="0.5" bottom="0.5" header="0" footer="0"/>
  <pageSetup paperSize="5"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5"/>
  <sheetViews>
    <sheetView view="pageBreakPreview" topLeftCell="A5" zoomScale="81" zoomScaleNormal="100" zoomScaleSheetLayoutView="81" workbookViewId="0"/>
  </sheetViews>
  <sheetFormatPr defaultColWidth="9.77734375" defaultRowHeight="14.25"/>
  <cols>
    <col min="1" max="1" width="4.21875" style="170" customWidth="1"/>
    <col min="2" max="2" width="18.5546875" style="170" customWidth="1"/>
    <col min="3" max="3" width="12.6640625" style="170" customWidth="1"/>
    <col min="4" max="5" width="12.6640625" style="171" customWidth="1"/>
    <col min="6" max="6" width="13.44140625" style="171" customWidth="1"/>
    <col min="7" max="8" width="12.6640625" style="171" customWidth="1"/>
    <col min="9" max="9" width="2.44140625" style="256" customWidth="1"/>
    <col min="10" max="10" width="29.6640625" style="170" customWidth="1"/>
    <col min="11" max="11" width="9.77734375" style="170"/>
    <col min="12" max="12" width="12.6640625" style="170" bestFit="1" customWidth="1"/>
    <col min="13" max="16384" width="9.77734375" style="170"/>
  </cols>
  <sheetData>
    <row r="1" spans="1:12" ht="15">
      <c r="A1" s="259" t="str">
        <f>'Exhibit 1a'!A1</f>
        <v>VERSANT POWER – MAINE PUBLIC DISTRICT OATT</v>
      </c>
      <c r="B1" s="150"/>
      <c r="D1" s="173"/>
      <c r="E1" s="173"/>
      <c r="F1" s="170"/>
      <c r="G1" s="198"/>
      <c r="H1" s="173"/>
      <c r="I1" s="108"/>
      <c r="J1" s="196" t="s">
        <v>48</v>
      </c>
    </row>
    <row r="2" spans="1:12" ht="15">
      <c r="A2" s="259" t="str">
        <f>'Exhibit 1a'!A2</f>
        <v>ATTACHMENT J FORMULA RATES</v>
      </c>
      <c r="B2" s="197"/>
      <c r="C2" s="172"/>
      <c r="D2" s="173"/>
      <c r="E2" s="173"/>
      <c r="F2" s="173"/>
      <c r="G2" s="173"/>
      <c r="H2" s="173"/>
      <c r="I2" s="108"/>
      <c r="J2" s="196" t="s">
        <v>247</v>
      </c>
    </row>
    <row r="3" spans="1:12" ht="15">
      <c r="A3" s="259" t="str">
        <f>'Exhibit 1a'!A3</f>
        <v>RATE YEAR JUNE 1, 2020 TO MAY 31, 2021</v>
      </c>
      <c r="B3" s="195"/>
      <c r="C3" s="172"/>
      <c r="D3" s="173"/>
      <c r="E3" s="173"/>
      <c r="F3" s="173"/>
      <c r="G3" s="173"/>
      <c r="H3" s="173"/>
      <c r="I3" s="114"/>
      <c r="J3" s="172"/>
    </row>
    <row r="4" spans="1:12" ht="15">
      <c r="A4" s="259" t="str">
        <f>'Exhibit 1a'!A4</f>
        <v>Actual ATRR &amp; CHARGES BASED ON ACTUAL CY 2020 VALUES</v>
      </c>
      <c r="B4" s="195"/>
      <c r="C4" s="172"/>
      <c r="D4" s="173"/>
      <c r="E4" s="173"/>
      <c r="F4" s="173"/>
      <c r="G4" s="173"/>
      <c r="H4" s="173"/>
      <c r="I4" s="114"/>
      <c r="J4" s="172"/>
    </row>
    <row r="5" spans="1:12" ht="15">
      <c r="A5" s="263"/>
      <c r="B5" s="194"/>
      <c r="C5" s="194"/>
      <c r="D5" s="194"/>
      <c r="E5" s="194"/>
      <c r="F5" s="263"/>
      <c r="G5" s="194"/>
      <c r="H5" s="194"/>
      <c r="I5" s="114"/>
      <c r="J5" s="194"/>
    </row>
    <row r="6" spans="1:12" s="183" customFormat="1" ht="15">
      <c r="A6" s="194" t="s">
        <v>246</v>
      </c>
      <c r="C6" s="566" t="s">
        <v>66</v>
      </c>
      <c r="D6" s="566" t="s">
        <v>43</v>
      </c>
      <c r="E6" s="566" t="s">
        <v>65</v>
      </c>
      <c r="F6" s="566" t="s">
        <v>64</v>
      </c>
      <c r="G6" s="566" t="s">
        <v>63</v>
      </c>
      <c r="H6" s="566" t="s">
        <v>62</v>
      </c>
      <c r="I6" s="113"/>
    </row>
    <row r="7" spans="1:12" s="183" customFormat="1" ht="15">
      <c r="C7" s="193"/>
      <c r="H7" s="192" t="s">
        <v>380</v>
      </c>
      <c r="I7" s="112"/>
    </row>
    <row r="8" spans="1:12" s="183" customFormat="1" ht="15">
      <c r="C8" s="191"/>
      <c r="D8" s="946" t="s">
        <v>599</v>
      </c>
      <c r="E8" s="946"/>
      <c r="F8" s="946"/>
      <c r="G8" s="946"/>
      <c r="H8" s="190"/>
      <c r="I8" s="256"/>
    </row>
    <row r="9" spans="1:12" s="183" customFormat="1" ht="15">
      <c r="A9" s="189" t="s">
        <v>14</v>
      </c>
      <c r="B9" s="189" t="s">
        <v>13</v>
      </c>
      <c r="C9" s="188" t="s">
        <v>245</v>
      </c>
      <c r="D9" s="360" t="s">
        <v>786</v>
      </c>
      <c r="E9" s="360" t="s">
        <v>787</v>
      </c>
      <c r="F9" s="360" t="s">
        <v>788</v>
      </c>
      <c r="G9" s="360" t="s">
        <v>781</v>
      </c>
      <c r="H9" s="187" t="s">
        <v>244</v>
      </c>
      <c r="I9" s="567"/>
      <c r="J9" s="167" t="s">
        <v>25</v>
      </c>
    </row>
    <row r="10" spans="1:12" s="183" customFormat="1">
      <c r="B10" s="186"/>
      <c r="C10" s="185"/>
      <c r="D10" s="184"/>
      <c r="E10" s="184"/>
      <c r="F10" s="184"/>
      <c r="G10" s="184"/>
      <c r="H10" s="184"/>
      <c r="J10" s="163"/>
    </row>
    <row r="11" spans="1:12" ht="15">
      <c r="A11" s="173">
        <v>1</v>
      </c>
      <c r="B11" s="172" t="s">
        <v>243</v>
      </c>
      <c r="C11" s="913">
        <v>115.55500000000001</v>
      </c>
      <c r="D11" s="914">
        <v>3.504</v>
      </c>
      <c r="E11" s="915">
        <v>20.106000000000002</v>
      </c>
      <c r="F11" s="915">
        <v>2.629</v>
      </c>
      <c r="G11" s="887">
        <v>0</v>
      </c>
      <c r="H11" s="779">
        <f>+C11-SUM(D11:G11)</f>
        <v>89.316000000000003</v>
      </c>
      <c r="I11" s="33"/>
      <c r="J11" s="170" t="s">
        <v>242</v>
      </c>
      <c r="L11" s="182"/>
    </row>
    <row r="12" spans="1:12" ht="15">
      <c r="A12" s="173">
        <v>2</v>
      </c>
      <c r="B12" s="172" t="s">
        <v>241</v>
      </c>
      <c r="C12" s="913">
        <v>108.798</v>
      </c>
      <c r="D12" s="914">
        <v>3.51</v>
      </c>
      <c r="E12" s="915">
        <v>18.795000000000002</v>
      </c>
      <c r="F12" s="915">
        <v>2.532</v>
      </c>
      <c r="G12" s="887">
        <v>0</v>
      </c>
      <c r="H12" s="779">
        <f t="shared" ref="H12:H22" si="0">+C12-SUM(D12:G12)</f>
        <v>83.960999999999999</v>
      </c>
      <c r="I12" s="33"/>
      <c r="J12" s="170" t="s">
        <v>240</v>
      </c>
      <c r="L12" s="182"/>
    </row>
    <row r="13" spans="1:12">
      <c r="A13" s="173">
        <v>3</v>
      </c>
      <c r="B13" s="172" t="s">
        <v>239</v>
      </c>
      <c r="C13" s="913">
        <v>103.899</v>
      </c>
      <c r="D13" s="914">
        <v>2.9670000000000001</v>
      </c>
      <c r="E13" s="915">
        <v>18.181999999999999</v>
      </c>
      <c r="F13" s="915">
        <v>2.4009999999999998</v>
      </c>
      <c r="G13" s="887">
        <v>0</v>
      </c>
      <c r="H13" s="779">
        <f t="shared" si="0"/>
        <v>80.349000000000004</v>
      </c>
      <c r="I13" s="303"/>
      <c r="J13" s="170" t="s">
        <v>238</v>
      </c>
      <c r="L13" s="182"/>
    </row>
    <row r="14" spans="1:12">
      <c r="A14" s="173">
        <v>4</v>
      </c>
      <c r="B14" s="172" t="s">
        <v>237</v>
      </c>
      <c r="C14" s="913">
        <v>92.950999999999993</v>
      </c>
      <c r="D14" s="914">
        <v>2.6259999999999999</v>
      </c>
      <c r="E14" s="915">
        <v>16.814</v>
      </c>
      <c r="F14" s="915">
        <v>2.1120000000000001</v>
      </c>
      <c r="G14" s="887">
        <v>0</v>
      </c>
      <c r="H14" s="779">
        <f t="shared" si="0"/>
        <v>71.399000000000001</v>
      </c>
      <c r="I14" s="303"/>
      <c r="J14" s="170" t="s">
        <v>236</v>
      </c>
      <c r="L14" s="182"/>
    </row>
    <row r="15" spans="1:12">
      <c r="A15" s="173">
        <v>5</v>
      </c>
      <c r="B15" s="172" t="s">
        <v>235</v>
      </c>
      <c r="C15" s="913">
        <v>90.572000000000003</v>
      </c>
      <c r="D15" s="914">
        <v>2.5720000000000001</v>
      </c>
      <c r="E15" s="915">
        <v>16.045000000000002</v>
      </c>
      <c r="F15" s="915">
        <v>2.0419999999999998</v>
      </c>
      <c r="G15" s="887">
        <v>0</v>
      </c>
      <c r="H15" s="779">
        <f t="shared" si="0"/>
        <v>69.913000000000011</v>
      </c>
      <c r="I15" s="303"/>
      <c r="J15" s="170" t="s">
        <v>234</v>
      </c>
    </row>
    <row r="16" spans="1:12">
      <c r="A16" s="173">
        <v>6</v>
      </c>
      <c r="B16" s="172" t="s">
        <v>233</v>
      </c>
      <c r="C16" s="913">
        <v>85.658000000000001</v>
      </c>
      <c r="D16" s="914">
        <v>2.968</v>
      </c>
      <c r="E16" s="915">
        <v>0</v>
      </c>
      <c r="F16" s="915">
        <v>2.0830000000000002</v>
      </c>
      <c r="G16" s="887">
        <v>0</v>
      </c>
      <c r="H16" s="779">
        <f t="shared" si="0"/>
        <v>80.606999999999999</v>
      </c>
      <c r="I16" s="303"/>
      <c r="J16" s="170" t="s">
        <v>232</v>
      </c>
    </row>
    <row r="17" spans="1:10">
      <c r="A17" s="173">
        <v>7</v>
      </c>
      <c r="B17" s="172" t="s">
        <v>231</v>
      </c>
      <c r="C17" s="913">
        <v>87.11</v>
      </c>
      <c r="D17" s="914">
        <v>3.0790000000000002</v>
      </c>
      <c r="E17" s="915">
        <v>0</v>
      </c>
      <c r="F17" s="915">
        <v>1.891</v>
      </c>
      <c r="G17" s="887">
        <v>0</v>
      </c>
      <c r="H17" s="779">
        <f t="shared" si="0"/>
        <v>82.14</v>
      </c>
      <c r="I17" s="303"/>
      <c r="J17" s="170" t="s">
        <v>230</v>
      </c>
    </row>
    <row r="18" spans="1:10">
      <c r="A18" s="173">
        <v>8</v>
      </c>
      <c r="B18" s="172" t="s">
        <v>229</v>
      </c>
      <c r="C18" s="913">
        <v>90.134</v>
      </c>
      <c r="D18" s="914">
        <v>3.3109999999999999</v>
      </c>
      <c r="E18" s="915">
        <v>0</v>
      </c>
      <c r="F18" s="915">
        <v>2.0419999999999998</v>
      </c>
      <c r="G18" s="887">
        <v>0</v>
      </c>
      <c r="H18" s="779">
        <f t="shared" si="0"/>
        <v>84.781000000000006</v>
      </c>
      <c r="I18" s="303"/>
      <c r="J18" s="170" t="s">
        <v>228</v>
      </c>
    </row>
    <row r="19" spans="1:10">
      <c r="A19" s="173">
        <v>9</v>
      </c>
      <c r="B19" s="172" t="s">
        <v>227</v>
      </c>
      <c r="C19" s="913">
        <v>76.257999999999996</v>
      </c>
      <c r="D19" s="914">
        <v>2.1920000000000002</v>
      </c>
      <c r="E19" s="915">
        <v>0</v>
      </c>
      <c r="F19" s="915">
        <v>1.65</v>
      </c>
      <c r="G19" s="887">
        <v>0</v>
      </c>
      <c r="H19" s="779">
        <f t="shared" si="0"/>
        <v>72.415999999999997</v>
      </c>
      <c r="I19" s="303"/>
      <c r="J19" s="170" t="s">
        <v>226</v>
      </c>
    </row>
    <row r="20" spans="1:10">
      <c r="A20" s="173">
        <v>10</v>
      </c>
      <c r="B20" s="172" t="s">
        <v>225</v>
      </c>
      <c r="C20" s="913">
        <v>86.727999999999994</v>
      </c>
      <c r="D20" s="914">
        <v>2.754</v>
      </c>
      <c r="E20" s="915">
        <v>0</v>
      </c>
      <c r="F20" s="915">
        <v>2.0680000000000001</v>
      </c>
      <c r="G20" s="887">
        <v>0</v>
      </c>
      <c r="H20" s="779">
        <f t="shared" si="0"/>
        <v>81.905999999999992</v>
      </c>
      <c r="I20" s="303"/>
      <c r="J20" s="170" t="s">
        <v>224</v>
      </c>
    </row>
    <row r="21" spans="1:10">
      <c r="A21" s="173">
        <v>11</v>
      </c>
      <c r="B21" s="172" t="s">
        <v>223</v>
      </c>
      <c r="C21" s="913">
        <v>94.015000000000001</v>
      </c>
      <c r="D21" s="914">
        <v>3.2679999999999998</v>
      </c>
      <c r="E21" s="915">
        <v>0</v>
      </c>
      <c r="F21" s="915">
        <v>2.476</v>
      </c>
      <c r="G21" s="887">
        <v>0</v>
      </c>
      <c r="H21" s="779">
        <f t="shared" si="0"/>
        <v>88.271000000000001</v>
      </c>
      <c r="I21" s="303"/>
      <c r="J21" s="170" t="s">
        <v>222</v>
      </c>
    </row>
    <row r="22" spans="1:10">
      <c r="A22" s="173">
        <v>12</v>
      </c>
      <c r="B22" s="172" t="s">
        <v>221</v>
      </c>
      <c r="C22" s="913">
        <v>99.132999999999996</v>
      </c>
      <c r="D22" s="914">
        <v>3.7429999999999999</v>
      </c>
      <c r="E22" s="915">
        <v>0</v>
      </c>
      <c r="F22" s="915">
        <v>2.8079999999999998</v>
      </c>
      <c r="G22" s="887">
        <v>0</v>
      </c>
      <c r="H22" s="779">
        <f t="shared" si="0"/>
        <v>92.581999999999994</v>
      </c>
      <c r="I22" s="303"/>
      <c r="J22" s="170" t="s">
        <v>220</v>
      </c>
    </row>
    <row r="23" spans="1:10">
      <c r="A23" s="173">
        <v>13</v>
      </c>
      <c r="B23" s="173"/>
      <c r="C23" s="173"/>
      <c r="D23" s="181"/>
      <c r="E23" s="180"/>
      <c r="F23" s="180"/>
      <c r="H23" s="179"/>
      <c r="I23" s="303"/>
      <c r="J23" s="173"/>
    </row>
    <row r="24" spans="1:10">
      <c r="A24" s="173">
        <v>14</v>
      </c>
      <c r="B24" s="177" t="s">
        <v>571</v>
      </c>
      <c r="C24" s="859">
        <f t="shared" ref="C24:H24" si="1">AVERAGE(C11:C22)</f>
        <v>94.234250000000017</v>
      </c>
      <c r="D24" s="860">
        <f t="shared" si="1"/>
        <v>3.0411666666666668</v>
      </c>
      <c r="E24" s="860">
        <f t="shared" si="1"/>
        <v>7.4951666666666661</v>
      </c>
      <c r="F24" s="860">
        <f t="shared" si="1"/>
        <v>2.2278333333333333</v>
      </c>
      <c r="G24" s="861">
        <f t="shared" si="1"/>
        <v>0</v>
      </c>
      <c r="H24" s="860">
        <f t="shared" si="1"/>
        <v>81.470083333333307</v>
      </c>
      <c r="I24" s="303"/>
      <c r="J24" s="177" t="s">
        <v>570</v>
      </c>
    </row>
    <row r="25" spans="1:10">
      <c r="A25" s="173">
        <v>15</v>
      </c>
      <c r="B25" s="173"/>
      <c r="C25" s="173"/>
      <c r="D25" s="173"/>
      <c r="E25" s="176"/>
      <c r="H25" s="173"/>
      <c r="I25" s="303"/>
      <c r="J25" s="173"/>
    </row>
    <row r="26" spans="1:10">
      <c r="A26" s="173">
        <v>16</v>
      </c>
      <c r="B26" s="170" t="s">
        <v>219</v>
      </c>
      <c r="C26" s="171"/>
      <c r="D26" s="862">
        <f>D24/$C$24</f>
        <v>3.2272413338745372E-2</v>
      </c>
      <c r="E26" s="862">
        <f>E24/$C$24</f>
        <v>7.9537606195907162E-2</v>
      </c>
      <c r="F26" s="862">
        <f>F24/$C$24</f>
        <v>2.3641439639338489E-2</v>
      </c>
      <c r="G26" s="862">
        <f>G24/$C$24</f>
        <v>0</v>
      </c>
      <c r="H26" s="862">
        <f>H24/$C$24</f>
        <v>0.86454854082600852</v>
      </c>
      <c r="I26" s="303"/>
      <c r="J26" s="178" t="s">
        <v>381</v>
      </c>
    </row>
    <row r="27" spans="1:10">
      <c r="A27" s="177"/>
      <c r="B27" s="177"/>
      <c r="D27" s="176"/>
      <c r="H27" s="173"/>
      <c r="I27" s="303"/>
    </row>
    <row r="28" spans="1:10">
      <c r="A28" s="173"/>
      <c r="B28" s="173"/>
      <c r="C28" s="176"/>
      <c r="D28" s="176"/>
      <c r="H28" s="173"/>
      <c r="I28" s="303"/>
      <c r="J28" s="172"/>
    </row>
    <row r="29" spans="1:10">
      <c r="A29" s="173"/>
      <c r="B29" s="173"/>
      <c r="C29" s="176"/>
      <c r="D29" s="176"/>
      <c r="H29" s="173"/>
      <c r="I29" s="303"/>
      <c r="J29" s="172"/>
    </row>
    <row r="30" spans="1:10">
      <c r="A30" s="173"/>
      <c r="B30" s="173"/>
      <c r="C30" s="173"/>
      <c r="D30" s="173"/>
      <c r="E30" s="173"/>
      <c r="F30" s="173"/>
      <c r="G30" s="173"/>
      <c r="H30" s="173"/>
      <c r="I30" s="303"/>
      <c r="J30" s="166"/>
    </row>
    <row r="31" spans="1:10">
      <c r="A31" s="173"/>
      <c r="B31" s="173"/>
      <c r="C31" s="175"/>
      <c r="D31" s="173"/>
      <c r="E31" s="173"/>
      <c r="F31" s="173"/>
      <c r="G31" s="173"/>
      <c r="H31" s="173"/>
      <c r="I31" s="303"/>
    </row>
    <row r="32" spans="1:10">
      <c r="A32" s="173"/>
      <c r="B32" s="173"/>
      <c r="C32" s="174"/>
      <c r="D32" s="173"/>
      <c r="E32" s="173"/>
      <c r="F32" s="173"/>
      <c r="G32" s="173"/>
      <c r="H32" s="173"/>
      <c r="I32" s="303"/>
    </row>
    <row r="33" spans="1:10">
      <c r="A33" s="173"/>
      <c r="B33" s="173"/>
      <c r="C33" s="172"/>
      <c r="D33" s="173"/>
      <c r="E33" s="173"/>
      <c r="F33" s="173"/>
      <c r="G33" s="173"/>
      <c r="H33" s="173"/>
      <c r="I33" s="173"/>
      <c r="J33" s="172"/>
    </row>
    <row r="34" spans="1:10">
      <c r="A34" s="173"/>
      <c r="B34" s="173"/>
      <c r="C34" s="172"/>
      <c r="I34" s="171"/>
      <c r="J34" s="172"/>
    </row>
    <row r="35" spans="1:10">
      <c r="C35" s="172"/>
      <c r="I35" s="171"/>
      <c r="J35" s="172"/>
    </row>
    <row r="36" spans="1:10">
      <c r="I36" s="303"/>
    </row>
    <row r="37" spans="1:10">
      <c r="I37" s="303"/>
    </row>
    <row r="38" spans="1:10">
      <c r="I38" s="303"/>
    </row>
    <row r="39" spans="1:10">
      <c r="I39" s="303"/>
    </row>
    <row r="40" spans="1:10">
      <c r="I40" s="303"/>
    </row>
    <row r="41" spans="1:10">
      <c r="I41" s="303"/>
    </row>
    <row r="42" spans="1:10">
      <c r="I42" s="303"/>
    </row>
    <row r="43" spans="1:10">
      <c r="I43" s="303"/>
    </row>
    <row r="44" spans="1:10">
      <c r="I44" s="105"/>
    </row>
    <row r="45" spans="1:10">
      <c r="I45" s="303"/>
    </row>
    <row r="46" spans="1:10">
      <c r="I46" s="303"/>
    </row>
    <row r="47" spans="1:10">
      <c r="I47" s="303"/>
    </row>
    <row r="75" spans="9:9">
      <c r="I75" s="257"/>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EADIT Liability</vt:lpstr>
      <vt:lpstr>WP EADIT Amortization</vt:lpstr>
      <vt:lpstr>WP EADIT Allocators</vt:lpstr>
      <vt:lpstr>WP Unprotected EADIT Amort</vt:lpstr>
      <vt:lpstr>WP DTA(L) Detail</vt:lpstr>
      <vt:lpstr>WP Amortization Study Run Out</vt:lpstr>
      <vt:lpstr>WP LNS Allocator</vt:lpstr>
      <vt:lpstr>WP BHD EADIT</vt:lpstr>
      <vt:lpstr>WP MPD EADIT</vt:lpstr>
      <vt:lpstr>WP Customer Costs</vt:lpstr>
      <vt:lpstr>WP Retail June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4'!Print_Area</vt:lpstr>
      <vt:lpstr>'Exhibit 5'!Print_Area</vt:lpstr>
      <vt:lpstr>'Exhibit 6'!Print_Area</vt:lpstr>
      <vt:lpstr>'Exhibit 7'!Print_Area</vt:lpstr>
      <vt:lpstr>'Exhibit 8'!Print_Area</vt:lpstr>
      <vt:lpstr>'Exhibit 9'!Print_Area</vt:lpstr>
      <vt:lpstr>'WP ADIT'!Print_Area</vt:lpstr>
      <vt:lpstr>'WP BHD EADIT'!Print_Area</vt:lpstr>
      <vt:lpstr>'WP Customer Costs'!Print_Area</vt:lpstr>
      <vt:lpstr>'WP EADIT Liability'!Print_Area</vt:lpstr>
      <vt:lpstr>'WP Line 6901 Adjustments'!Print_Area</vt:lpstr>
      <vt:lpstr>'WP Retail June True-Up'!Print_Area</vt:lpstr>
      <vt:lpstr>'WP Transaction Costs'!Print_Area</vt:lpstr>
      <vt:lpstr>'WP W''Sale Adjustments'!Print_Area</vt:lpstr>
      <vt:lpstr>'WP DTA(L) Detail'!Print_Titles</vt:lpstr>
      <vt:lpstr>'WP FF1 Reconciliation'!Print_Titles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OLESNIEWICZ, TIMOTHY</dc:creator>
  <cp:lastModifiedBy>Jeffrey M. Jakubiak</cp:lastModifiedBy>
  <cp:lastPrinted>1900-01-01T05:00:00Z</cp:lastPrinted>
  <dcterms:created xsi:type="dcterms:W3CDTF">1900-01-01T05:00:00Z</dcterms:created>
  <dcterms:modified xsi:type="dcterms:W3CDTF">2021-06-11T22:07:48Z</dcterms:modified>
</cp:coreProperties>
</file>